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0" windowWidth="20115" windowHeight="7755" tabRatio="726"/>
  </bookViews>
  <sheets>
    <sheet name="ปร.6 (ก) " sheetId="8" r:id="rId1"/>
    <sheet name="ปร.5" sheetId="6" r:id="rId2"/>
    <sheet name="ปร.4 ก่อสร้าง (เกษตร)" sheetId="1" r:id="rId3"/>
    <sheet name="ปร.4 ครุภันฑ์ (เกษตร)" sheetId="3" r:id="rId4"/>
    <sheet name="ปร.4 ก่อสร้าง (ประปา)" sheetId="7" r:id="rId5"/>
    <sheet name="ปร.4 ครุภัณฑ์ (ประปา)" sheetId="9" r:id="rId6"/>
    <sheet name="ที่มาของตู้ควบคุม" sheetId="10" r:id="rId7"/>
  </sheets>
  <definedNames>
    <definedName name="_xlnm.Print_Area" localSheetId="2">'ปร.4 ก่อสร้าง (เกษตร)'!$A$1:$J$73</definedName>
    <definedName name="_xlnm.Print_Area" localSheetId="4">'ปร.4 ก่อสร้าง (ประปา)'!$A$1:$J$71</definedName>
    <definedName name="_xlnm.Print_Area" localSheetId="0">'ปร.6 (ก) '!$A$1:$F$33</definedName>
    <definedName name="_xlnm.Print_Titles" localSheetId="2">'ปร.4 ก่อสร้าง (เกษตร)'!$A:$J,'ปร.4 ก่อสร้าง (เกษตร)'!$1:$8</definedName>
    <definedName name="_xlnm.Print_Titles" localSheetId="4">'ปร.4 ก่อสร้าง (ประปา)'!$A:$J,'ปร.4 ก่อสร้าง (ประปา)'!$1:$8</definedName>
  </definedNames>
  <calcPr calcId="152511"/>
</workbook>
</file>

<file path=xl/calcChain.xml><?xml version="1.0" encoding="utf-8"?>
<calcChain xmlns="http://schemas.openxmlformats.org/spreadsheetml/2006/main">
  <c r="E19" i="8" l="1"/>
  <c r="C12" i="8"/>
  <c r="E12" i="8" s="1"/>
  <c r="C11" i="8"/>
  <c r="E11" i="8" s="1"/>
  <c r="H44" i="1" l="1"/>
  <c r="H21" i="10"/>
  <c r="I21" i="10" s="1"/>
  <c r="F21" i="10"/>
  <c r="I20" i="10"/>
  <c r="H20" i="10"/>
  <c r="F20" i="10"/>
  <c r="F19" i="10"/>
  <c r="I19" i="10" s="1"/>
  <c r="H18" i="10"/>
  <c r="I18" i="10" s="1"/>
  <c r="F18" i="10"/>
  <c r="I17" i="10"/>
  <c r="H17" i="10"/>
  <c r="H22" i="10" s="1"/>
  <c r="I22" i="10" s="1"/>
  <c r="F17" i="10"/>
  <c r="F22" i="10" s="1"/>
  <c r="H15" i="10"/>
  <c r="H14" i="10"/>
  <c r="I14" i="10" s="1"/>
  <c r="F14" i="10"/>
  <c r="H13" i="10"/>
  <c r="I13" i="10" s="1"/>
  <c r="F13" i="10"/>
  <c r="I12" i="10"/>
  <c r="F12" i="10"/>
  <c r="H11" i="10"/>
  <c r="F11" i="10"/>
  <c r="I11" i="10" s="1"/>
  <c r="H10" i="10"/>
  <c r="I10" i="10" s="1"/>
  <c r="F10" i="10"/>
  <c r="F15" i="10" s="1"/>
  <c r="G24" i="7"/>
  <c r="G39" i="1"/>
  <c r="G40" i="1"/>
  <c r="G24" i="1"/>
  <c r="I17" i="1"/>
  <c r="J21" i="10" l="1"/>
  <c r="I15" i="10"/>
  <c r="G39" i="7" l="1"/>
  <c r="E56" i="1" l="1"/>
  <c r="H63" i="1" l="1"/>
  <c r="F63" i="1"/>
  <c r="H58" i="1"/>
  <c r="F58" i="1"/>
  <c r="I63" i="1" l="1"/>
  <c r="I58" i="1"/>
  <c r="E46" i="7" l="1"/>
  <c r="E29" i="7"/>
  <c r="E55" i="1"/>
  <c r="E44" i="1"/>
  <c r="E29" i="1"/>
  <c r="H11" i="9" l="1"/>
  <c r="F11" i="9"/>
  <c r="H10" i="9"/>
  <c r="F10" i="9"/>
  <c r="F46" i="7"/>
  <c r="E47" i="7" s="1"/>
  <c r="F29" i="7"/>
  <c r="H65" i="7"/>
  <c r="F65" i="7"/>
  <c r="H64" i="7"/>
  <c r="F64" i="7"/>
  <c r="F61" i="7"/>
  <c r="H60" i="7"/>
  <c r="F60" i="7"/>
  <c r="H59" i="7"/>
  <c r="F59" i="7"/>
  <c r="H58" i="7"/>
  <c r="F58" i="7"/>
  <c r="H57" i="7"/>
  <c r="F57" i="7"/>
  <c r="H56" i="7"/>
  <c r="F56" i="7"/>
  <c r="H55" i="7"/>
  <c r="I55" i="7" s="1"/>
  <c r="F55" i="7"/>
  <c r="H54" i="7"/>
  <c r="F54" i="7"/>
  <c r="H53" i="7"/>
  <c r="F53" i="7"/>
  <c r="H52" i="7"/>
  <c r="F52" i="7"/>
  <c r="H51" i="7"/>
  <c r="I51" i="7" s="1"/>
  <c r="F51" i="7"/>
  <c r="H50" i="7"/>
  <c r="F50" i="7"/>
  <c r="H46" i="7"/>
  <c r="G43" i="7"/>
  <c r="H43" i="7" s="1"/>
  <c r="F43" i="7"/>
  <c r="G42" i="7"/>
  <c r="H42" i="7" s="1"/>
  <c r="F42" i="7"/>
  <c r="G41" i="7"/>
  <c r="H41" i="7" s="1"/>
  <c r="F41" i="7"/>
  <c r="G40" i="7"/>
  <c r="H40" i="7" s="1"/>
  <c r="F40" i="7"/>
  <c r="H39" i="7"/>
  <c r="F39" i="7"/>
  <c r="H38" i="7"/>
  <c r="F38" i="7"/>
  <c r="H35" i="7"/>
  <c r="F35" i="7"/>
  <c r="H34" i="7"/>
  <c r="F34" i="7"/>
  <c r="H33" i="7"/>
  <c r="F33" i="7"/>
  <c r="H30" i="7"/>
  <c r="F30" i="7"/>
  <c r="H29" i="7"/>
  <c r="H27" i="7"/>
  <c r="F27" i="7"/>
  <c r="H24" i="7"/>
  <c r="F24" i="7"/>
  <c r="H23" i="7"/>
  <c r="G22" i="7"/>
  <c r="H22" i="7" s="1"/>
  <c r="F22" i="7"/>
  <c r="H21" i="7"/>
  <c r="F21" i="7"/>
  <c r="H20" i="7"/>
  <c r="F20" i="7"/>
  <c r="H19" i="7"/>
  <c r="F19" i="7"/>
  <c r="F16" i="7"/>
  <c r="F15" i="7"/>
  <c r="I15" i="7" s="1"/>
  <c r="H14" i="7"/>
  <c r="F14" i="7"/>
  <c r="H13" i="7"/>
  <c r="F13" i="7"/>
  <c r="G16" i="7" s="1"/>
  <c r="H16" i="7" s="1"/>
  <c r="H10" i="7"/>
  <c r="F10" i="7"/>
  <c r="H17" i="7" l="1"/>
  <c r="E23" i="7"/>
  <c r="H25" i="7"/>
  <c r="I59" i="7"/>
  <c r="I58" i="7"/>
  <c r="I21" i="7"/>
  <c r="F62" i="7"/>
  <c r="F36" i="7"/>
  <c r="I54" i="7"/>
  <c r="F47" i="7"/>
  <c r="I10" i="7"/>
  <c r="I11" i="7" s="1"/>
  <c r="I13" i="7"/>
  <c r="H36" i="7"/>
  <c r="I65" i="7"/>
  <c r="I16" i="7"/>
  <c r="H66" i="7"/>
  <c r="H11" i="7"/>
  <c r="F17" i="7"/>
  <c r="I24" i="7"/>
  <c r="I35" i="7"/>
  <c r="I41" i="7"/>
  <c r="I57" i="7"/>
  <c r="I60" i="7"/>
  <c r="I14" i="7"/>
  <c r="I22" i="7"/>
  <c r="G61" i="7"/>
  <c r="H61" i="7" s="1"/>
  <c r="I61" i="7" s="1"/>
  <c r="H31" i="7"/>
  <c r="I34" i="7"/>
  <c r="I38" i="7"/>
  <c r="I40" i="7"/>
  <c r="I42" i="7"/>
  <c r="I56" i="7"/>
  <c r="I64" i="7"/>
  <c r="I66" i="7" s="1"/>
  <c r="F66" i="7"/>
  <c r="F12" i="9"/>
  <c r="I12" i="9" s="1"/>
  <c r="I11" i="9"/>
  <c r="F44" i="7"/>
  <c r="I43" i="7"/>
  <c r="I30" i="7"/>
  <c r="F23" i="7"/>
  <c r="I10" i="9"/>
  <c r="I53" i="7"/>
  <c r="I52" i="7"/>
  <c r="I46" i="7"/>
  <c r="F31" i="7"/>
  <c r="I29" i="7"/>
  <c r="I19" i="7"/>
  <c r="I20" i="7"/>
  <c r="I39" i="7"/>
  <c r="H44" i="7"/>
  <c r="I50" i="7"/>
  <c r="I27" i="7"/>
  <c r="I33" i="7"/>
  <c r="I17" i="7" l="1"/>
  <c r="I23" i="7"/>
  <c r="F25" i="7"/>
  <c r="I25" i="7" s="1"/>
  <c r="I36" i="7"/>
  <c r="G47" i="7"/>
  <c r="H47" i="7" s="1"/>
  <c r="F48" i="7"/>
  <c r="I31" i="7"/>
  <c r="H62" i="7"/>
  <c r="I62" i="7" s="1"/>
  <c r="I13" i="9"/>
  <c r="I14" i="9" s="1"/>
  <c r="C18" i="6" s="1"/>
  <c r="I44" i="7"/>
  <c r="F67" i="7"/>
  <c r="I47" i="7" l="1"/>
  <c r="H48" i="7"/>
  <c r="I48" i="7" l="1"/>
  <c r="H67" i="7"/>
  <c r="I67" i="7" s="1"/>
  <c r="I68" i="7" s="1"/>
  <c r="I69" i="7" s="1"/>
  <c r="C14" i="6" s="1"/>
  <c r="I14" i="6" s="1"/>
  <c r="K14" i="6" s="1"/>
  <c r="L14" i="6" s="1"/>
  <c r="M14" i="6" s="1"/>
  <c r="H33" i="1"/>
  <c r="F33" i="1"/>
  <c r="F34" i="1" s="1"/>
  <c r="I33" i="1" l="1"/>
  <c r="H34" i="1"/>
  <c r="I34" i="1" l="1"/>
  <c r="H45" i="1" l="1"/>
  <c r="F45" i="1"/>
  <c r="I45" i="1" l="1"/>
  <c r="F10" i="3"/>
  <c r="H10" i="3"/>
  <c r="F11" i="3"/>
  <c r="H11" i="3"/>
  <c r="G41" i="1"/>
  <c r="H41" i="1" s="1"/>
  <c r="F41" i="1"/>
  <c r="H40" i="1"/>
  <c r="F40" i="1"/>
  <c r="H39" i="1"/>
  <c r="F39" i="1"/>
  <c r="G38" i="1"/>
  <c r="H38" i="1" s="1"/>
  <c r="F38" i="1"/>
  <c r="G37" i="1"/>
  <c r="H37" i="1" s="1"/>
  <c r="F37" i="1"/>
  <c r="H36" i="1"/>
  <c r="F36" i="1"/>
  <c r="I39" i="1" l="1"/>
  <c r="F42" i="1"/>
  <c r="H42" i="1"/>
  <c r="I41" i="1"/>
  <c r="I11" i="3"/>
  <c r="I10" i="3"/>
  <c r="I37" i="1"/>
  <c r="I36" i="1"/>
  <c r="I40" i="1"/>
  <c r="I38" i="1"/>
  <c r="I42" i="1" l="1"/>
  <c r="F44" i="1"/>
  <c r="E46" i="1" s="1"/>
  <c r="H30" i="1"/>
  <c r="H23" i="1"/>
  <c r="H24" i="1"/>
  <c r="G22" i="1"/>
  <c r="H22" i="1" s="1"/>
  <c r="F15" i="1"/>
  <c r="I15" i="1" s="1"/>
  <c r="F12" i="3"/>
  <c r="F16" i="1"/>
  <c r="H16" i="1"/>
  <c r="H67" i="1"/>
  <c r="F67" i="1"/>
  <c r="H66" i="1"/>
  <c r="F66" i="1"/>
  <c r="H62" i="1"/>
  <c r="H64" i="1" s="1"/>
  <c r="F62" i="1"/>
  <c r="F64" i="1" s="1"/>
  <c r="H59" i="1"/>
  <c r="F59" i="1"/>
  <c r="H57" i="1"/>
  <c r="F57" i="1"/>
  <c r="H56" i="1"/>
  <c r="F56" i="1"/>
  <c r="H55" i="1"/>
  <c r="F55" i="1"/>
  <c r="H53" i="1"/>
  <c r="F53" i="1"/>
  <c r="H52" i="1"/>
  <c r="F52" i="1"/>
  <c r="H51" i="1"/>
  <c r="F51" i="1"/>
  <c r="H50" i="1"/>
  <c r="F50" i="1"/>
  <c r="H49" i="1"/>
  <c r="F30" i="1"/>
  <c r="H29" i="1"/>
  <c r="F29" i="1"/>
  <c r="H27" i="1"/>
  <c r="F27" i="1"/>
  <c r="F24" i="1"/>
  <c r="F22" i="1"/>
  <c r="H21" i="1"/>
  <c r="F21" i="1"/>
  <c r="H20" i="1"/>
  <c r="F20" i="1"/>
  <c r="H19" i="1"/>
  <c r="F19" i="1"/>
  <c r="H14" i="1"/>
  <c r="F14" i="1"/>
  <c r="H13" i="1"/>
  <c r="F13" i="1"/>
  <c r="H10" i="1"/>
  <c r="H11" i="1" s="1"/>
  <c r="F10" i="1"/>
  <c r="I64" i="1" l="1"/>
  <c r="E23" i="1"/>
  <c r="F68" i="1"/>
  <c r="H68" i="1"/>
  <c r="F17" i="1"/>
  <c r="F31" i="1"/>
  <c r="H25" i="1"/>
  <c r="H31" i="1"/>
  <c r="F46" i="1"/>
  <c r="F60" i="1"/>
  <c r="I12" i="3"/>
  <c r="I13" i="3" s="1"/>
  <c r="I14" i="3" s="1"/>
  <c r="C17" i="6" s="1"/>
  <c r="C19" i="6" s="1"/>
  <c r="E19" i="6" s="1"/>
  <c r="I49" i="1"/>
  <c r="H60" i="1"/>
  <c r="I44" i="1"/>
  <c r="I53" i="1"/>
  <c r="F23" i="1"/>
  <c r="F25" i="1" s="1"/>
  <c r="I55" i="1"/>
  <c r="I19" i="1"/>
  <c r="I16" i="1"/>
  <c r="I59" i="1"/>
  <c r="I22" i="1"/>
  <c r="I66" i="1"/>
  <c r="I24" i="1"/>
  <c r="I25" i="1" s="1"/>
  <c r="I57" i="1"/>
  <c r="I67" i="1"/>
  <c r="I27" i="1"/>
  <c r="I14" i="1"/>
  <c r="I29" i="1"/>
  <c r="I20" i="1"/>
  <c r="I51" i="1"/>
  <c r="I56" i="1"/>
  <c r="I30" i="1"/>
  <c r="I52" i="1"/>
  <c r="I13" i="1"/>
  <c r="I21" i="1"/>
  <c r="I62" i="1"/>
  <c r="I50" i="1"/>
  <c r="I10" i="1"/>
  <c r="I11" i="1" s="1"/>
  <c r="I68" i="1" l="1"/>
  <c r="G46" i="1"/>
  <c r="H46" i="1" s="1"/>
  <c r="F47" i="1"/>
  <c r="F69" i="1" s="1"/>
  <c r="I31" i="1"/>
  <c r="H17" i="1"/>
  <c r="I23" i="1"/>
  <c r="I60" i="1"/>
  <c r="I46" i="1" l="1"/>
  <c r="I47" i="1" s="1"/>
  <c r="H47" i="1"/>
  <c r="H69" i="1" l="1"/>
  <c r="I69" i="1" l="1"/>
  <c r="I70" i="1" s="1"/>
  <c r="I71" i="1" s="1"/>
  <c r="C13" i="6" s="1"/>
  <c r="I13" i="6" l="1"/>
  <c r="C15" i="6"/>
  <c r="I18" i="6" s="1"/>
  <c r="H20" i="6" l="1"/>
  <c r="I26" i="6" s="1"/>
  <c r="E15" i="6"/>
  <c r="E26" i="6" s="1"/>
  <c r="E20" i="8" s="1"/>
  <c r="C21" i="8" s="1"/>
  <c r="K13" i="6"/>
  <c r="L13" i="6" s="1"/>
  <c r="M13" i="6" s="1"/>
  <c r="M15" i="6" s="1"/>
</calcChain>
</file>

<file path=xl/sharedStrings.xml><?xml version="1.0" encoding="utf-8"?>
<sst xmlns="http://schemas.openxmlformats.org/spreadsheetml/2006/main" count="475" uniqueCount="211">
  <si>
    <t>บัญชีแสดงปริมาณวัสดุและแรงงานค่าก่อสร้าง</t>
  </si>
  <si>
    <t xml:space="preserve">แบบ  ปร.4  </t>
  </si>
  <si>
    <t>สถานที่ก่อสร้าง  :</t>
  </si>
  <si>
    <t xml:space="preserve">แบบเลขที่     </t>
  </si>
  <si>
    <t>รายการเลขที่</t>
  </si>
  <si>
    <t>หน่วยงานประมาณราคา  :</t>
  </si>
  <si>
    <t xml:space="preserve">กรม  : </t>
  </si>
  <si>
    <t>กระทรวง  :  กระทรวงพลังงาน</t>
  </si>
  <si>
    <t xml:space="preserve">ประมาณการโดย  :  </t>
  </si>
  <si>
    <t xml:space="preserve">เมื่อวันที่          </t>
  </si>
  <si>
    <t>เดือน</t>
  </si>
  <si>
    <t xml:space="preserve">พ.ศ. 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</si>
  <si>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</si>
  <si>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</si>
  <si>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</si>
  <si>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</si>
  <si>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</si>
  <si>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</si>
  <si>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</si>
  <si>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</si>
  <si>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</si>
  <si>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</si>
  <si>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งานเตรียมการก่อสร้าง</t>
  </si>
  <si>
    <t>งานปักผังวางแนวและระดับ</t>
  </si>
  <si>
    <t>เหมา</t>
  </si>
  <si>
    <t>รวม (1)</t>
  </si>
  <si>
    <t>อุปกรณ์ ปิด-เปิด วงจรไฟฟ้ากระแสตรง (Circuit breaker DC)</t>
  </si>
  <si>
    <t>ชุด</t>
  </si>
  <si>
    <t>อุปกรณ์ป้องกนฟ้าผ่า (Surge protection)</t>
  </si>
  <si>
    <t>อุปกรณ์ ปิด-เปิด วงจรไฟฟ้ากระแสสลับ (Circuit breaker AC)</t>
  </si>
  <si>
    <t>ตู้ควบคุมระบบสูบน้ำ</t>
  </si>
  <si>
    <t>งาน</t>
  </si>
  <si>
    <t>ค่าแรงประกอบ และติดตั้ง ระบบสูบน้ำพลังงานแสงอาทิตย์</t>
  </si>
  <si>
    <t>รวม (2)</t>
  </si>
  <si>
    <t>งานโครงสร้างเหล็กรองรับแผงเซลล์แสงอาทิตย์</t>
  </si>
  <si>
    <t>เส้น</t>
  </si>
  <si>
    <t>กระป๋อง</t>
  </si>
  <si>
    <t>ลบ.ม.</t>
  </si>
  <si>
    <t>เหล็กเสริมตอม่อ</t>
  </si>
  <si>
    <t xml:space="preserve">   - เหล็กเส้นกลม RB 6</t>
  </si>
  <si>
    <t xml:space="preserve">   - ลวดผูกเหล็ก</t>
  </si>
  <si>
    <t>กก.</t>
  </si>
  <si>
    <t>รวม (3)</t>
  </si>
  <si>
    <t>งานพื้นฐากรากคอนกรีต หอถังน้ำ</t>
  </si>
  <si>
    <t>ดินขุด</t>
  </si>
  <si>
    <t>ทรายหยาบรองพื้น บดอัดแน่น</t>
  </si>
  <si>
    <t>แบบหล่อคอนกรีต</t>
  </si>
  <si>
    <t>ตร.ม.</t>
  </si>
  <si>
    <t>เหล็กเสริม</t>
  </si>
  <si>
    <t>1.6.1 RB12</t>
  </si>
  <si>
    <t>1.6.2 RB15</t>
  </si>
  <si>
    <t>1.6.3 ลวดผูกเหล็ก</t>
  </si>
  <si>
    <t>ต้น</t>
  </si>
  <si>
    <t xml:space="preserve">สลักเกลียวยึดฐาน dia. 25 มม. </t>
  </si>
  <si>
    <t>ตัว</t>
  </si>
  <si>
    <t>รวม (4)</t>
  </si>
  <si>
    <t>รวม (5)</t>
  </si>
  <si>
    <t>รวม (6)</t>
  </si>
  <si>
    <t>ป้ายโครงการ</t>
  </si>
  <si>
    <t>สติ้กเกอร์ข้อความโครงการ</t>
  </si>
  <si>
    <t>รวม (7)</t>
  </si>
  <si>
    <t xml:space="preserve">งานระบบสูบน้ำด้วยพลังงานแสงอาทิตย์ </t>
  </si>
  <si>
    <t>เครื่อง</t>
  </si>
  <si>
    <t>รวม</t>
  </si>
  <si>
    <t>ตู้</t>
  </si>
  <si>
    <t>L/S</t>
  </si>
  <si>
    <t>อุปกรณ์ป้องเลือกการทำงาน (Selector Switch)</t>
  </si>
  <si>
    <t xml:space="preserve">ชุดสายไฟ และอุปกรณ์เสริมประกอบทั้งระบบ  </t>
  </si>
  <si>
    <t xml:space="preserve">เหล็กตัวซี  100x50x20  หนา 2.3 มม. </t>
  </si>
  <si>
    <t xml:space="preserve">เหล็กตัวซี  75x45x15  หนา 2.3 มม. </t>
  </si>
  <si>
    <t>เพลทเหล็ก ขนาด 150x200 มม. หนา 9 มม.</t>
  </si>
  <si>
    <t>น็อตยึดเพลท J bolt 19 มม.  ยาว 0.20 ม.</t>
  </si>
  <si>
    <t>สีเก็บรอยเชื่อมและทาโครงสร้าง</t>
  </si>
  <si>
    <t>แทงค์น้ำ 20 ลบ.ม. พร้อมอุปกรณ์ประกอบ</t>
  </si>
  <si>
    <t>ระบบท่อประปา</t>
  </si>
  <si>
    <t>เมตร</t>
  </si>
  <si>
    <t>ราคาวัสดุ 20% ของราคาเหล็ก</t>
  </si>
  <si>
    <t xml:space="preserve">อุปกรณ์เชื่อมต่อท่อ </t>
  </si>
  <si>
    <t>ชุดเหล็กโครงสร้างป้าย ขนาด 1.20x2.40 เมตร</t>
  </si>
  <si>
    <t>รวม (8)</t>
  </si>
  <si>
    <t>รวมราคาทั้งสิ้น</t>
  </si>
  <si>
    <t>หน่วย : บาท</t>
  </si>
  <si>
    <t>ค่างานต้นทุน</t>
  </si>
  <si>
    <t xml:space="preserve"> Factor F</t>
  </si>
  <si>
    <t>ค่าก่อสร้าง</t>
  </si>
  <si>
    <t>รวมราคาก่อสร้าง</t>
  </si>
  <si>
    <t>รวมราคาครุภัณฑ์</t>
  </si>
  <si>
    <t>เงื่อนไขการใช้ตาราง Factor F</t>
  </si>
  <si>
    <t>รวมค่าก่อสร้าง</t>
  </si>
  <si>
    <t>ประธานกรรมการกำหนดราคากลาง</t>
  </si>
  <si>
    <t>กรรมการกำหนดราคากลาง</t>
  </si>
  <si>
    <t>งานก่อสร้างระบบ</t>
  </si>
  <si>
    <t xml:space="preserve">ชุดอุปกรณ์ บานพับ สายยู บานประตูเหล็ก </t>
  </si>
  <si>
    <t>ท่อเหล็ก ขนาด 1 1/4 นิ้ว หนา 2.0 มม.</t>
  </si>
  <si>
    <t>รั้วตะข่ายช่อง 1 1/2  นิ้ว ขนาดลวด 3.0 มม.</t>
  </si>
  <si>
    <t>เสาคอนกรีตสำเร็จรูป ขนาด 10x10 ซม. ยาว 2 เมตร</t>
  </si>
  <si>
    <t>อุปกรณ์ระบบสูบน้ำพลังงานแสงอาทิตย์</t>
  </si>
  <si>
    <t>รวม (10)</t>
  </si>
  <si>
    <t>รวม (9)</t>
  </si>
  <si>
    <t xml:space="preserve">ราคารวมสายไฟที่ลงเครื่องสูบน้ำ </t>
  </si>
  <si>
    <t>งานโครงสร้างรั้วเหล็ก</t>
  </si>
  <si>
    <t>ค่าแรงประกอบ และติดตั้ง 20 % ของมูลค่าวัสดุ</t>
  </si>
  <si>
    <t xml:space="preserve">สายสลิงสแตนเลส ขนาด 6 มม. </t>
  </si>
  <si>
    <t>เพิ่มเติม</t>
  </si>
  <si>
    <t>งานโครงเหล็กหอสูงน้ำขนาด 20 ลบ.ม. สูง 12 เมตร</t>
  </si>
  <si>
    <t>งานรากฐานคอนกรีตเสาโครงสร้างรองรับแผงเซลล์แสงอาทิตย์</t>
  </si>
  <si>
    <t>งานพื้นคอนกรีตใต้โครงสร้างรองรับแผงเซลล์แสงอาทิตย์</t>
  </si>
  <si>
    <t>รวม (11)</t>
  </si>
  <si>
    <t>ดอกเบี้ยเงินกู้.......6..................%</t>
  </si>
  <si>
    <t>ภาษีมูลค่าเพิ่ม......7..................%</t>
  </si>
  <si>
    <t>มาตรวัดน้ำ ขนาด  1 1/2 นิ้ว</t>
  </si>
  <si>
    <t xml:space="preserve">ท่อ PVC Class 13.5 ขนาด 1 1/2 นิ้ว  </t>
  </si>
  <si>
    <t xml:space="preserve">หินกรวดเบอร์ 1   </t>
  </si>
  <si>
    <t>รายการประมาณราคา</t>
  </si>
  <si>
    <t>ค่าก่อสร้างทั้งหมดรวมเป็นเงิน</t>
  </si>
  <si>
    <t>สรุป</t>
  </si>
  <si>
    <t>รวมค่าก่อสร้างทั้งโครงการ</t>
  </si>
  <si>
    <t>ตัวอักษร</t>
  </si>
  <si>
    <t>ไม้แบบหล่อคอนกรีต</t>
  </si>
  <si>
    <t>งานโครงสร้างรั่วเหล็ก</t>
  </si>
  <si>
    <t xml:space="preserve">ท่อ PVC Class 13.5 ขนาด 2 นิ้ว  </t>
  </si>
  <si>
    <t>ระบบชุดทดสอบปริมาตรน้ำ</t>
  </si>
  <si>
    <t xml:space="preserve">เหล็กฉาก 40x40 หนา 3 มม. </t>
  </si>
  <si>
    <t>ลวดเหล็กตาข่าย  ขนาด 2 นิ้ว หนา 2.3 มม.</t>
  </si>
  <si>
    <t xml:space="preserve">เกจวาล์ว ขนาด 2 นิ้ว  </t>
  </si>
  <si>
    <t>เช็ควาล์ว</t>
  </si>
  <si>
    <t>ยูเนียน ขนาด 2 นิ้ว</t>
  </si>
  <si>
    <t>นิปเปิ้ล ขนาด 2 นิ้ว</t>
  </si>
  <si>
    <t>เกจวัดแรงดันน้ำ (0-100 ปอนด์ / ตร.นิ้ว)</t>
  </si>
  <si>
    <t>มิเตอร์วัดน้ำ ขนาด 2 นิ้ว</t>
  </si>
  <si>
    <t>ค่าแรงติดตั้งอุปกรณ์</t>
  </si>
  <si>
    <t>ค่าแรง 30% ราคาวัสดุ</t>
  </si>
  <si>
    <t xml:space="preserve">โครงการสูบน้ำพลังงานแสงอาทิตย์สู้ภัยแล้ง </t>
  </si>
  <si>
    <t>ระบบ</t>
  </si>
  <si>
    <t>รวมราคาระบบสูบน้ำพลังงานแสงอาทิตย์</t>
  </si>
  <si>
    <t xml:space="preserve">รวมราคาระบบสูบน้ำพลังงานแสงอาทิตย์ </t>
  </si>
  <si>
    <t>-</t>
  </si>
  <si>
    <t xml:space="preserve">ครุภัณฑ์  </t>
  </si>
  <si>
    <t>ค่าขนส่งอุปกรณ์</t>
  </si>
  <si>
    <t>ประปา</t>
  </si>
  <si>
    <t>เกษตร</t>
  </si>
  <si>
    <t>งบ</t>
  </si>
  <si>
    <t>จิง</t>
  </si>
  <si>
    <t>ราคาต่ออัน</t>
  </si>
  <si>
    <t>เกิน</t>
  </si>
  <si>
    <t>ราคาวัสดุ 20% ของราคาท่อ / ค่าแรง 20% ของราคาวัสดุ</t>
  </si>
  <si>
    <t>factor f</t>
  </si>
  <si>
    <t>a=d-[(d-e)*(a-b)/(c-b)]</t>
  </si>
  <si>
    <t>A = ค่างานต้นทุนที่ต้องการหาค่า factor f</t>
  </si>
  <si>
    <t>C = ค่างานต้นทุกค่าสูง</t>
  </si>
  <si>
    <t>B = ค่างานต้นทุกค่าต่ำ</t>
  </si>
  <si>
    <t>D = ค่า F ต่ำ</t>
  </si>
  <si>
    <t>E = ค่า F สูง</t>
  </si>
  <si>
    <t>ระบบสูบน้ำพลังงานแสงอาทิตย์ สำหรับการเกษตร</t>
  </si>
  <si>
    <t>ระบบสูบน้ำพลังงานแสงอาทิตย์ สำหรับระบบประปา</t>
  </si>
  <si>
    <t>(นายอำพร  วายลม)</t>
  </si>
  <si>
    <t>(นายวาทิน  เสนามา)</t>
  </si>
  <si>
    <t>(นายสกลธรรม  ดวงดี)</t>
  </si>
  <si>
    <t>อุปกรณ์ประกอบโครงสร้าง เช่น ใบตัด น๊อต  และอื่นๆที่จำเป็น</t>
  </si>
  <si>
    <t>คอนกรีต 1:2:4</t>
  </si>
  <si>
    <t>คอนกรีต 1:3:5</t>
  </si>
  <si>
    <t>สีทาภายนอก(บอร์นเงิน)</t>
  </si>
  <si>
    <t xml:space="preserve">สีทากันสนิม </t>
  </si>
  <si>
    <t>สีทาภายนอก (บอร์นเงิน)</t>
  </si>
  <si>
    <t>เสาเข็มคอนกรีตรูปตัวไอ (คอร.) 0.22 x 0.22 x 6.00 เมตร</t>
  </si>
  <si>
    <t>แผงโซลาร์เซลล์</t>
  </si>
  <si>
    <t>วัตต์</t>
  </si>
  <si>
    <t>มอเตอร์ไฟฟ้าสูบน้ำพร้อมอุปกรณ์ควบคุมการทำงาน ขนาด 20 ลบ.ม.ต่อวัน</t>
  </si>
  <si>
    <t>กรม  : สำนักงานปลัดกระทรวงพลังงาน</t>
  </si>
  <si>
    <t>กรม  :  สำนักงานปลัดกระทรวงพลังงาน</t>
  </si>
  <si>
    <t>สถานที่ก่อสร้าง  :  ม.16 ต.เขาเพิ่ม อ.บ้านนา (2 แห่ง) , ม.12 ต.บ้านพร้าว อ.บ้านนา</t>
  </si>
  <si>
    <t>สถานที่ก่อสร้าง  :  ม.10 และ ม.12 ต.ป่าขะ อ.บ้านนา</t>
  </si>
  <si>
    <t>ชุดเหล็กโครงสร้างป้าย ขนาด 1.20 x 2.40 เมตร</t>
  </si>
  <si>
    <t>หมายเหตุ :</t>
  </si>
  <si>
    <t>1. ปริมาณและวัสดุสิ่งของประเมินจากแบบ สภ.นย.01</t>
  </si>
  <si>
    <t>2. ราคาวัสดุสิ่งของและค่าแรงงานสามารถปรับได้ตามเขตพื้นที่ก่อสร้าง</t>
  </si>
  <si>
    <t>อุปกรณ์ประกอบโครงสร้าง เช่น ใบตัด น๊อต และอื่นๆที่จำเป็น</t>
  </si>
  <si>
    <t>คอนกรีตโครงสร้าง 1:2:4</t>
  </si>
  <si>
    <t>เหล็กเสริมพื้นคอนกรีต wire mesh 6 มม. @ 0.20ม.</t>
  </si>
  <si>
    <t>ราคาวัสดุ 30% ของราคาท่อ/ค่าแรง 20% ของราคาวัสดุ</t>
  </si>
  <si>
    <t xml:space="preserve">สามทาง PVC ขนาด 2 นิ้ว </t>
  </si>
  <si>
    <t>เหล็กเสริมพื้นคอนกรีต  wire mesh 6 มม. @ 0.20ม.</t>
  </si>
  <si>
    <t>มอเตอร์ไฟฟ้าสูบน้ำพร้อมอุปกรณ์ควบคุมการทำงาน ขนาดไม่น้อยกว่า 2.2 kW</t>
  </si>
  <si>
    <t>1. ปริมาณและวัสดุสิ่งของประเมินจากแบบ สภ.นย.02</t>
  </si>
  <si>
    <t>ประมาณราคาค่าก่อสร้าง   :  โครงการสูบน้ำพลังงานแสงอาทิตย์สู้ภัยแล้ง</t>
  </si>
  <si>
    <t>กระทรวง  :  สำนักพลังงานจังหวัดนครนายก</t>
  </si>
  <si>
    <t>ตู้ควบคุมระบบสูบน้ำด้วยพลังงานแสงอาทิตย์  แบบเกษตร</t>
  </si>
  <si>
    <t>ตู้ควบคุมระบบสูบน้ำด้วยพลังงานแสงอาทิตย์ แบบประปา</t>
  </si>
  <si>
    <t>ค่าวัสดุ</t>
  </si>
  <si>
    <t>แบบแสดงรายการ ปริมาณงาน และราคา</t>
  </si>
  <si>
    <t>ชื่อโครงการ/งานก่อสร้าง   :  โครงการสูบน้ำพลังงานแสงอาทิตย์สู้ภัยแล้ง ขนาดไม่น้อยกว่า 2.5 กิโลวัตต์  สำหรับด้านการเกษตรกรรม (หอถังน้ำแบบแชมเปญ)</t>
  </si>
  <si>
    <t>หน่วยงานเจ้าของโครงการ/งานก่อสร้าง  :  สำนักงานพลังงานจังหวัดนครนายก</t>
  </si>
  <si>
    <t>ชื่อโครงการ/งานก่อสร้าง   :  โครงการสูบน้ำพลังงานแสงอาทิตย์สู้ภัยแล้ง   ขนาดไม่น้อยกว่า 5000 วัตต์  สำหรับประปาหมู่บ้าน</t>
  </si>
  <si>
    <t>แบบ ปร.6 แผ่นที่........./.........</t>
  </si>
  <si>
    <t>แบบสรุปค่าก่อสร้างและค่าครุภัณฑ์จัดซื้อ</t>
  </si>
  <si>
    <t>แบบ ปร.5</t>
  </si>
  <si>
    <t>หน่วยงานเจ้าของโครงการ/งานก่อสร้าง : สำนักพลังงานจังหวัดนครนายก</t>
  </si>
  <si>
    <t xml:space="preserve">ชื่อโครงการ/งานก่อสร้าง : โครงการสูบน้ำพลังงานแสงอาทิตย์สู้ภัยแล้ง </t>
  </si>
  <si>
    <t xml:space="preserve">                                  ระบบสูบน้ำพลังงานแสงอาทิตย์ส่งเสริมและสนับสนุนเทคโนโลยีสำหรับด้านเกษตรกรรมและประปาหมู่บ้าน</t>
  </si>
  <si>
    <t xml:space="preserve">                                   ระบบสูบน้ำพลังงานแสงอาทิตย์ส่งเสริมและสนับสนุนเทคโนโลยีสำหรับด้านเกษตรกรรมและประปาหมู่บ้าน</t>
  </si>
  <si>
    <t>ภาษี</t>
  </si>
  <si>
    <t>แบบ ปร.4  ที่แนบ  มีจำนวน                  หน้า</t>
  </si>
  <si>
    <t xml:space="preserve">แบบเลขที่ : สภ.นย.01    </t>
  </si>
  <si>
    <t xml:space="preserve">แบบเลขที่ : สภ.นย.02   </t>
  </si>
  <si>
    <t>คำนวณราคากลางโดย  :  คณะกรรมการกำหนดราคากลาง คำสั่งจังหวัดนครนายก ที่ 57/2560 ลว. 13 ม.ค. 60</t>
  </si>
  <si>
    <t>คำนวณราคากลาง เมื่อวันที่ 6 เดือน กุมภาพันธ์ พ.ศ. 2560</t>
  </si>
  <si>
    <t>เมื่อวันที่ 6 เดือน  กุมภาพันธ์  พ.ศ. 2560</t>
  </si>
  <si>
    <t>........................................................</t>
  </si>
  <si>
    <t>รวมค่าตัดหัวเสาเข็ม</t>
  </si>
  <si>
    <t>เงินล่วงหน้าจ่าย…….....0............%</t>
  </si>
  <si>
    <t>เงินประกันผลงานหัก.......0........%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</si>
</sst>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#,##0.0000"/>
    <numFmt numFmtId="189" formatCode="0.0"/>
    <numFmt numFmtId="190" formatCode="0.00000"/>
    <numFmt numFmtId="191" formatCode="_-* #,##0.0000_-;\-* #,##0.0000_-;_-* &quot;-&quot;??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Browallia New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u/>
      <sz val="20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8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/>
      <sz val="1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6" xfId="0" applyFont="1" applyBorder="1"/>
    <xf numFmtId="0" fontId="7" fillId="0" borderId="0" xfId="0" applyFont="1" applyFill="1"/>
    <xf numFmtId="0" fontId="6" fillId="0" borderId="17" xfId="0" applyFont="1" applyBorder="1"/>
    <xf numFmtId="0" fontId="6" fillId="2" borderId="17" xfId="0" applyFont="1" applyFill="1" applyBorder="1"/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/>
    <xf numFmtId="0" fontId="6" fillId="0" borderId="21" xfId="0" applyFont="1" applyBorder="1" applyAlignment="1">
      <alignment horizontal="right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7" xfId="0" applyFont="1" applyFill="1" applyBorder="1"/>
    <xf numFmtId="43" fontId="6" fillId="0" borderId="7" xfId="1" applyFont="1" applyBorder="1" applyAlignment="1">
      <alignment horizontal="right"/>
    </xf>
    <xf numFmtId="188" fontId="6" fillId="0" borderId="7" xfId="0" quotePrefix="1" applyNumberFormat="1" applyFont="1" applyBorder="1" applyAlignment="1">
      <alignment horizontal="center"/>
    </xf>
    <xf numFmtId="0" fontId="6" fillId="0" borderId="7" xfId="0" applyFont="1" applyBorder="1"/>
    <xf numFmtId="0" fontId="9" fillId="0" borderId="7" xfId="0" applyFont="1" applyBorder="1" applyAlignment="1">
      <alignment horizontal="center" vertical="center"/>
    </xf>
    <xf numFmtId="0" fontId="10" fillId="2" borderId="7" xfId="0" applyFont="1" applyFill="1" applyBorder="1"/>
    <xf numFmtId="43" fontId="10" fillId="0" borderId="7" xfId="1" applyFont="1" applyBorder="1" applyAlignment="1">
      <alignment horizontal="right"/>
    </xf>
    <xf numFmtId="188" fontId="10" fillId="0" borderId="7" xfId="0" quotePrefix="1" applyNumberFormat="1" applyFont="1" applyBorder="1" applyAlignment="1">
      <alignment horizontal="center"/>
    </xf>
    <xf numFmtId="0" fontId="10" fillId="0" borderId="7" xfId="0" applyFont="1" applyBorder="1"/>
    <xf numFmtId="187" fontId="4" fillId="0" borderId="0" xfId="1" applyNumberFormat="1" applyFont="1"/>
    <xf numFmtId="0" fontId="11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43" fontId="11" fillId="3" borderId="7" xfId="1" applyFont="1" applyFill="1" applyBorder="1" applyAlignment="1">
      <alignment vertical="center"/>
    </xf>
    <xf numFmtId="188" fontId="11" fillId="3" borderId="7" xfId="0" applyNumberFormat="1" applyFont="1" applyFill="1" applyBorder="1"/>
    <xf numFmtId="43" fontId="11" fillId="3" borderId="7" xfId="1" applyFont="1" applyFill="1" applyBorder="1" applyAlignment="1">
      <alignment horizontal="right"/>
    </xf>
    <xf numFmtId="0" fontId="11" fillId="3" borderId="7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43" fontId="6" fillId="0" borderId="7" xfId="1" applyFont="1" applyBorder="1"/>
    <xf numFmtId="4" fontId="6" fillId="0" borderId="7" xfId="0" quotePrefix="1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43" fontId="10" fillId="0" borderId="7" xfId="1" applyFont="1" applyBorder="1"/>
    <xf numFmtId="4" fontId="10" fillId="0" borderId="7" xfId="0" quotePrefix="1" applyNumberFormat="1" applyFont="1" applyBorder="1" applyAlignment="1">
      <alignment horizontal="center"/>
    </xf>
    <xf numFmtId="4" fontId="11" fillId="3" borderId="7" xfId="0" applyNumberFormat="1" applyFont="1" applyFill="1" applyBorder="1"/>
    <xf numFmtId="0" fontId="11" fillId="2" borderId="7" xfId="0" applyFont="1" applyFill="1" applyBorder="1"/>
    <xf numFmtId="0" fontId="12" fillId="2" borderId="7" xfId="0" applyFont="1" applyFill="1" applyBorder="1" applyAlignment="1">
      <alignment horizontal="center"/>
    </xf>
    <xf numFmtId="4" fontId="11" fillId="2" borderId="7" xfId="0" applyNumberFormat="1" applyFont="1" applyFill="1" applyBorder="1"/>
    <xf numFmtId="0" fontId="6" fillId="0" borderId="18" xfId="0" applyFont="1" applyBorder="1"/>
    <xf numFmtId="0" fontId="3" fillId="6" borderId="19" xfId="0" applyFont="1" applyFill="1" applyBorder="1" applyAlignment="1">
      <alignment horizontal="center"/>
    </xf>
    <xf numFmtId="4" fontId="3" fillId="6" borderId="19" xfId="0" applyNumberFormat="1" applyFont="1" applyFill="1" applyBorder="1"/>
    <xf numFmtId="0" fontId="6" fillId="6" borderId="19" xfId="0" applyFont="1" applyFill="1" applyBorder="1"/>
    <xf numFmtId="190" fontId="4" fillId="0" borderId="0" xfId="0" applyNumberFormat="1" applyFont="1" applyAlignment="1">
      <alignment horizontal="left" indent="3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17" xfId="0" applyFont="1" applyFill="1" applyBorder="1"/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7" borderId="7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8" fillId="2" borderId="7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7" xfId="0" applyFont="1" applyFill="1" applyBorder="1"/>
    <xf numFmtId="43" fontId="6" fillId="0" borderId="7" xfId="1" applyFont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/>
    <xf numFmtId="4" fontId="6" fillId="0" borderId="7" xfId="0" applyNumberFormat="1" applyFont="1" applyBorder="1" applyAlignment="1">
      <alignment horizontal="right"/>
    </xf>
    <xf numFmtId="0" fontId="13" fillId="2" borderId="7" xfId="0" applyFont="1" applyFill="1" applyBorder="1"/>
    <xf numFmtId="43" fontId="13" fillId="0" borderId="7" xfId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3" fontId="13" fillId="0" borderId="7" xfId="1" applyFont="1" applyBorder="1" applyAlignment="1">
      <alignment horizontal="center"/>
    </xf>
    <xf numFmtId="0" fontId="15" fillId="0" borderId="7" xfId="0" applyFont="1" applyBorder="1"/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43" fontId="3" fillId="4" borderId="7" xfId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43" fontId="3" fillId="5" borderId="18" xfId="1" applyFont="1" applyFill="1" applyBorder="1" applyAlignment="1">
      <alignment horizontal="center"/>
    </xf>
    <xf numFmtId="43" fontId="4" fillId="0" borderId="0" xfId="1" applyFont="1"/>
    <xf numFmtId="0" fontId="3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43" fontId="7" fillId="2" borderId="9" xfId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/>
    </xf>
    <xf numFmtId="3" fontId="7" fillId="2" borderId="9" xfId="1" applyNumberFormat="1" applyFont="1" applyFill="1" applyBorder="1" applyAlignment="1">
      <alignment horizontal="center"/>
    </xf>
    <xf numFmtId="187" fontId="7" fillId="2" borderId="9" xfId="1" applyNumberFormat="1" applyFont="1" applyFill="1" applyBorder="1" applyAlignment="1">
      <alignment horizontal="center"/>
    </xf>
    <xf numFmtId="43" fontId="7" fillId="2" borderId="0" xfId="1" applyFont="1" applyFill="1" applyBorder="1"/>
    <xf numFmtId="43" fontId="7" fillId="2" borderId="9" xfId="1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43" fontId="7" fillId="2" borderId="9" xfId="1" applyFont="1" applyFill="1" applyBorder="1" applyAlignment="1">
      <alignment horizontal="center" vertical="center" shrinkToFit="1"/>
    </xf>
    <xf numFmtId="43" fontId="7" fillId="2" borderId="9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7" xfId="0" applyFont="1" applyFill="1" applyBorder="1" applyAlignment="1"/>
    <xf numFmtId="0" fontId="8" fillId="5" borderId="3" xfId="0" applyFont="1" applyFill="1" applyBorder="1" applyAlignment="1"/>
    <xf numFmtId="43" fontId="8" fillId="5" borderId="7" xfId="1" applyFont="1" applyFill="1" applyBorder="1" applyAlignment="1">
      <alignment horizontal="center"/>
    </xf>
    <xf numFmtId="43" fontId="8" fillId="5" borderId="2" xfId="1" applyFont="1" applyFill="1" applyBorder="1"/>
    <xf numFmtId="43" fontId="8" fillId="5" borderId="7" xfId="1" applyFont="1" applyFill="1" applyBorder="1"/>
    <xf numFmtId="0" fontId="8" fillId="5" borderId="3" xfId="0" applyFont="1" applyFill="1" applyBorder="1" applyAlignment="1">
      <alignment horizontal="center"/>
    </xf>
    <xf numFmtId="0" fontId="8" fillId="2" borderId="9" xfId="2" applyFont="1" applyFill="1" applyBorder="1" applyAlignment="1">
      <alignment horizontal="left" shrinkToFit="1"/>
    </xf>
    <xf numFmtId="43" fontId="7" fillId="2" borderId="9" xfId="1" applyFont="1" applyFill="1" applyBorder="1" applyAlignment="1">
      <alignment horizontal="right"/>
    </xf>
    <xf numFmtId="2" fontId="7" fillId="2" borderId="9" xfId="1" applyNumberFormat="1" applyFont="1" applyFill="1" applyBorder="1"/>
    <xf numFmtId="0" fontId="7" fillId="2" borderId="9" xfId="2" applyFont="1" applyFill="1" applyBorder="1" applyAlignment="1">
      <alignment shrinkToFit="1"/>
    </xf>
    <xf numFmtId="0" fontId="7" fillId="2" borderId="9" xfId="0" applyFont="1" applyFill="1" applyBorder="1" applyAlignment="1">
      <alignment horizontal="center" vertical="center"/>
    </xf>
    <xf numFmtId="43" fontId="7" fillId="2" borderId="9" xfId="1" applyFont="1" applyFill="1" applyBorder="1" applyAlignment="1"/>
    <xf numFmtId="43" fontId="7" fillId="2" borderId="0" xfId="1" applyFont="1" applyFill="1" applyBorder="1" applyAlignment="1"/>
    <xf numFmtId="0" fontId="7" fillId="2" borderId="10" xfId="0" applyFont="1" applyFill="1" applyBorder="1" applyAlignment="1"/>
    <xf numFmtId="0" fontId="17" fillId="2" borderId="9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0" xfId="2" applyFont="1" applyFill="1" applyBorder="1" applyAlignment="1">
      <alignment horizontal="left" shrinkToFit="1"/>
    </xf>
    <xf numFmtId="43" fontId="7" fillId="2" borderId="13" xfId="1" applyFont="1" applyFill="1" applyBorder="1"/>
    <xf numFmtId="0" fontId="7" fillId="2" borderId="1" xfId="0" applyFont="1" applyFill="1" applyBorder="1"/>
    <xf numFmtId="0" fontId="7" fillId="2" borderId="10" xfId="0" applyFont="1" applyFill="1" applyBorder="1"/>
    <xf numFmtId="0" fontId="7" fillId="2" borderId="0" xfId="0" applyFont="1" applyFill="1" applyBorder="1"/>
    <xf numFmtId="0" fontId="17" fillId="2" borderId="10" xfId="0" applyFont="1" applyFill="1" applyBorder="1" applyAlignment="1">
      <alignment vertical="center" wrapText="1"/>
    </xf>
    <xf numFmtId="43" fontId="7" fillId="2" borderId="13" xfId="1" applyFont="1" applyFill="1" applyBorder="1" applyAlignment="1">
      <alignment horizontal="center" vertical="center"/>
    </xf>
    <xf numFmtId="43" fontId="17" fillId="2" borderId="10" xfId="1" applyFont="1" applyFill="1" applyBorder="1" applyAlignment="1">
      <alignment vertical="center" wrapText="1"/>
    </xf>
    <xf numFmtId="43" fontId="17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vertical="center"/>
    </xf>
    <xf numFmtId="0" fontId="17" fillId="2" borderId="10" xfId="0" quotePrefix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wrapText="1"/>
    </xf>
    <xf numFmtId="0" fontId="8" fillId="2" borderId="11" xfId="0" applyFont="1" applyFill="1" applyBorder="1" applyAlignment="1"/>
    <xf numFmtId="0" fontId="8" fillId="2" borderId="1" xfId="0" applyFont="1" applyFill="1" applyBorder="1" applyAlignment="1"/>
    <xf numFmtId="0" fontId="8" fillId="2" borderId="5" xfId="0" applyFont="1" applyFill="1" applyBorder="1" applyAlignment="1"/>
    <xf numFmtId="43" fontId="8" fillId="2" borderId="1" xfId="1" applyFont="1" applyFill="1" applyBorder="1" applyAlignment="1">
      <alignment horizontal="center"/>
    </xf>
    <xf numFmtId="43" fontId="8" fillId="2" borderId="12" xfId="1" applyFont="1" applyFill="1" applyBorder="1"/>
    <xf numFmtId="43" fontId="8" fillId="2" borderId="1" xfId="1" applyFont="1" applyFill="1" applyBorder="1"/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/>
    <xf numFmtId="43" fontId="7" fillId="2" borderId="14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/>
    </xf>
    <xf numFmtId="43" fontId="7" fillId="2" borderId="8" xfId="1" applyFont="1" applyFill="1" applyBorder="1"/>
    <xf numFmtId="43" fontId="7" fillId="2" borderId="6" xfId="1" applyFont="1" applyFill="1" applyBorder="1" applyAlignment="1">
      <alignment horizontal="center"/>
    </xf>
    <xf numFmtId="43" fontId="7" fillId="2" borderId="15" xfId="1" applyFont="1" applyFill="1" applyBorder="1"/>
    <xf numFmtId="43" fontId="7" fillId="2" borderId="6" xfId="0" applyNumberFormat="1" applyFont="1" applyFill="1" applyBorder="1"/>
    <xf numFmtId="43" fontId="7" fillId="2" borderId="6" xfId="1" applyFont="1" applyFill="1" applyBorder="1"/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0" fontId="7" fillId="2" borderId="10" xfId="0" applyFont="1" applyFill="1" applyBorder="1" applyAlignment="1">
      <alignment horizontal="left" vertical="center"/>
    </xf>
    <xf numFmtId="43" fontId="7" fillId="2" borderId="13" xfId="1" applyFont="1" applyFill="1" applyBorder="1" applyAlignment="1">
      <alignment horizontal="center" vertical="center" shrinkToFit="1"/>
    </xf>
    <xf numFmtId="43" fontId="7" fillId="2" borderId="10" xfId="1" applyFont="1" applyFill="1" applyBorder="1"/>
    <xf numFmtId="43" fontId="7" fillId="2" borderId="9" xfId="0" applyNumberFormat="1" applyFont="1" applyFill="1" applyBorder="1"/>
    <xf numFmtId="0" fontId="7" fillId="5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8" fillId="5" borderId="7" xfId="0" applyFont="1" applyFill="1" applyBorder="1" applyAlignment="1">
      <alignment horizontal="center"/>
    </xf>
    <xf numFmtId="43" fontId="8" fillId="5" borderId="3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43" fontId="7" fillId="2" borderId="10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/>
    </xf>
    <xf numFmtId="43" fontId="7" fillId="2" borderId="10" xfId="1" applyFont="1" applyFill="1" applyBorder="1" applyAlignment="1"/>
    <xf numFmtId="0" fontId="8" fillId="5" borderId="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10" xfId="0" applyFont="1" applyFill="1" applyBorder="1" applyAlignment="1"/>
    <xf numFmtId="43" fontId="8" fillId="2" borderId="9" xfId="1" applyFont="1" applyFill="1" applyBorder="1" applyAlignment="1">
      <alignment horizontal="center"/>
    </xf>
    <xf numFmtId="43" fontId="8" fillId="2" borderId="0" xfId="1" applyFont="1" applyFill="1" applyBorder="1"/>
    <xf numFmtId="2" fontId="8" fillId="2" borderId="9" xfId="1" applyNumberFormat="1" applyFont="1" applyFill="1" applyBorder="1"/>
    <xf numFmtId="43" fontId="8" fillId="2" borderId="9" xfId="1" applyFont="1" applyFill="1" applyBorder="1"/>
    <xf numFmtId="0" fontId="8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/>
    </xf>
    <xf numFmtId="43" fontId="7" fillId="2" borderId="1" xfId="1" applyFont="1" applyFill="1" applyBorder="1" applyAlignment="1">
      <alignment vertical="center"/>
    </xf>
    <xf numFmtId="43" fontId="7" fillId="2" borderId="12" xfId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0" borderId="0" xfId="1" applyFont="1" applyFill="1" applyBorder="1"/>
    <xf numFmtId="0" fontId="7" fillId="2" borderId="6" xfId="0" applyFont="1" applyFill="1" applyBorder="1"/>
    <xf numFmtId="43" fontId="7" fillId="0" borderId="15" xfId="1" applyFont="1" applyFill="1" applyBorder="1"/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/>
    <xf numFmtId="43" fontId="8" fillId="5" borderId="7" xfId="1" applyFont="1" applyFill="1" applyBorder="1" applyAlignment="1">
      <alignment horizontal="right"/>
    </xf>
    <xf numFmtId="0" fontId="7" fillId="5" borderId="3" xfId="0" applyFont="1" applyFill="1" applyBorder="1"/>
    <xf numFmtId="0" fontId="8" fillId="2" borderId="10" xfId="0" applyFont="1" applyFill="1" applyBorder="1"/>
    <xf numFmtId="191" fontId="4" fillId="0" borderId="0" xfId="0" applyNumberFormat="1" applyFont="1"/>
    <xf numFmtId="0" fontId="7" fillId="2" borderId="0" xfId="0" applyFont="1" applyFill="1" applyBorder="1" applyAlignment="1">
      <alignment horizontal="center"/>
    </xf>
    <xf numFmtId="0" fontId="8" fillId="5" borderId="3" xfId="0" applyFont="1" applyFill="1" applyBorder="1"/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8" fillId="5" borderId="6" xfId="1" applyFont="1" applyFill="1" applyBorder="1" applyAlignment="1">
      <alignment horizontal="right"/>
    </xf>
    <xf numFmtId="43" fontId="8" fillId="5" borderId="15" xfId="1" applyFont="1" applyFill="1" applyBorder="1"/>
    <xf numFmtId="43" fontId="8" fillId="5" borderId="6" xfId="1" applyFont="1" applyFill="1" applyBorder="1"/>
    <xf numFmtId="0" fontId="7" fillId="5" borderId="8" xfId="0" applyFont="1" applyFill="1" applyBorder="1"/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43" fontId="15" fillId="6" borderId="7" xfId="0" applyNumberFormat="1" applyFont="1" applyFill="1" applyBorder="1" applyAlignment="1">
      <alignment horizontal="center"/>
    </xf>
    <xf numFmtId="0" fontId="4" fillId="6" borderId="7" xfId="0" applyFont="1" applyFill="1" applyBorder="1"/>
    <xf numFmtId="43" fontId="15" fillId="5" borderId="7" xfId="1" applyFont="1" applyFill="1" applyBorder="1" applyAlignment="1">
      <alignment horizontal="center"/>
    </xf>
    <xf numFmtId="0" fontId="3" fillId="0" borderId="0" xfId="0" applyFont="1"/>
    <xf numFmtId="43" fontId="7" fillId="0" borderId="0" xfId="1" applyFont="1" applyFill="1"/>
    <xf numFmtId="0" fontId="7" fillId="0" borderId="0" xfId="0" applyFont="1" applyFill="1" applyAlignment="1">
      <alignment horizontal="center"/>
    </xf>
    <xf numFmtId="43" fontId="7" fillId="0" borderId="0" xfId="1" applyFont="1" applyAlignment="1">
      <alignment vertical="center"/>
    </xf>
    <xf numFmtId="0" fontId="8" fillId="7" borderId="11" xfId="0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43" fontId="8" fillId="7" borderId="6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43" fontId="8" fillId="0" borderId="9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9" xfId="2" applyFont="1" applyFill="1" applyBorder="1" applyAlignment="1">
      <alignment vertical="center" shrinkToFit="1"/>
    </xf>
    <xf numFmtId="0" fontId="7" fillId="2" borderId="9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43" fontId="8" fillId="6" borderId="2" xfId="1" applyFont="1" applyFill="1" applyBorder="1" applyAlignment="1">
      <alignment vertical="center"/>
    </xf>
    <xf numFmtId="43" fontId="8" fillId="6" borderId="7" xfId="1" applyFont="1" applyFill="1" applyBorder="1" applyAlignment="1">
      <alignment horizontal="right" vertical="center"/>
    </xf>
    <xf numFmtId="43" fontId="8" fillId="6" borderId="7" xfId="1" applyFont="1" applyFill="1" applyBorder="1" applyAlignment="1">
      <alignment vertical="center"/>
    </xf>
    <xf numFmtId="43" fontId="8" fillId="5" borderId="7" xfId="1" applyFont="1" applyFill="1" applyBorder="1" applyAlignment="1">
      <alignment vertical="center"/>
    </xf>
    <xf numFmtId="43" fontId="8" fillId="6" borderId="3" xfId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43" fontId="3" fillId="6" borderId="7" xfId="0" applyNumberFormat="1" applyFont="1" applyFill="1" applyBorder="1" applyAlignment="1">
      <alignment horizontal="center"/>
    </xf>
    <xf numFmtId="0" fontId="6" fillId="6" borderId="7" xfId="0" applyFont="1" applyFill="1" applyBorder="1"/>
    <xf numFmtId="43" fontId="3" fillId="5" borderId="7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3" fontId="7" fillId="0" borderId="9" xfId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3" fontId="7" fillId="0" borderId="9" xfId="1" applyNumberFormat="1" applyFont="1" applyBorder="1" applyAlignment="1">
      <alignment horizontal="center"/>
    </xf>
    <xf numFmtId="187" fontId="7" fillId="0" borderId="9" xfId="1" applyNumberFormat="1" applyFont="1" applyBorder="1" applyAlignment="1">
      <alignment horizontal="center"/>
    </xf>
    <xf numFmtId="43" fontId="7" fillId="0" borderId="0" xfId="1" applyFont="1" applyBorder="1"/>
    <xf numFmtId="43" fontId="7" fillId="0" borderId="9" xfId="1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43" fontId="7" fillId="0" borderId="9" xfId="1" applyFont="1" applyBorder="1" applyAlignment="1">
      <alignment horizontal="center" vertical="center" shrinkToFit="1"/>
    </xf>
    <xf numFmtId="43" fontId="7" fillId="0" borderId="9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2" fontId="8" fillId="5" borderId="7" xfId="1" applyNumberFormat="1" applyFont="1" applyFill="1" applyBorder="1"/>
    <xf numFmtId="0" fontId="7" fillId="2" borderId="1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189" fontId="7" fillId="2" borderId="9" xfId="0" applyNumberFormat="1" applyFont="1" applyFill="1" applyBorder="1" applyAlignment="1">
      <alignment horizontal="center"/>
    </xf>
    <xf numFmtId="189" fontId="7" fillId="2" borderId="6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43" fontId="8" fillId="2" borderId="0" xfId="1" applyFont="1" applyFill="1" applyBorder="1" applyAlignment="1"/>
    <xf numFmtId="43" fontId="8" fillId="2" borderId="10" xfId="1" applyFont="1" applyFill="1" applyBorder="1" applyAlignment="1"/>
    <xf numFmtId="2" fontId="7" fillId="2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3" fontId="8" fillId="0" borderId="1" xfId="1" applyFont="1" applyBorder="1"/>
    <xf numFmtId="43" fontId="8" fillId="0" borderId="0" xfId="1" applyFont="1" applyFill="1" applyBorder="1"/>
    <xf numFmtId="43" fontId="8" fillId="0" borderId="1" xfId="1" applyFont="1" applyFill="1" applyBorder="1"/>
    <xf numFmtId="0" fontId="7" fillId="0" borderId="1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7" fillId="0" borderId="9" xfId="1" applyFont="1" applyFill="1" applyBorder="1"/>
    <xf numFmtId="0" fontId="15" fillId="0" borderId="7" xfId="0" applyFont="1" applyBorder="1" applyAlignment="1">
      <alignment horizontal="center"/>
    </xf>
    <xf numFmtId="43" fontId="7" fillId="2" borderId="10" xfId="0" applyNumberFormat="1" applyFont="1" applyFill="1" applyBorder="1" applyAlignment="1">
      <alignment horizontal="center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1311089</xdr:colOff>
      <xdr:row>0</xdr:row>
      <xdr:rowOff>0</xdr:rowOff>
    </xdr:from>
    <xdr:to>
      <xdr:col>10</xdr:col>
      <xdr:colOff>0</xdr:colOff>
      <xdr:row>1</xdr:row>
      <xdr:rowOff>89647</xdr:rowOff>
    </xdr:to>
    <xdr:sp macro="" textlink="">
      <xdr:nvSpPr>
        <xdr:cNvPr id="2" name="กล่องข้อความ 1"/>
        <xdr:cNvSpPr txBox="1"/>
      </xdr:nvSpPr>
      <xdr:spPr>
        <a:xfrm>
          <a:off x="12292854" y="0"/>
          <a:ext cx="2028264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แบบ  ปร.4  แผ่นที่ ........../...........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1311089</xdr:colOff>
      <xdr:row>0</xdr:row>
      <xdr:rowOff>0</xdr:rowOff>
    </xdr:from>
    <xdr:to>
      <xdr:col>10</xdr:col>
      <xdr:colOff>0</xdr:colOff>
      <xdr:row>1</xdr:row>
      <xdr:rowOff>89647</xdr:rowOff>
    </xdr:to>
    <xdr:sp macro="" textlink="">
      <xdr:nvSpPr>
        <xdr:cNvPr id="2" name="กล่องข้อความ 1"/>
        <xdr:cNvSpPr txBox="1"/>
      </xdr:nvSpPr>
      <xdr:spPr>
        <a:xfrm>
          <a:off x="12302939" y="0"/>
          <a:ext cx="2032186" cy="432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แบบ  ปร.4  แผ่นที่ ........../...........</a:t>
          </a:r>
        </a:p>
      </xdr:txBody>
    </xdr:sp>
    <xdr:clientData/>
  </xdr:twoCellAnchor>
  <xdr:twoCellAnchor>
    <xdr:from>
      <xdr:col>8</xdr:col>
      <xdr:colOff>238380</xdr:colOff>
      <xdr:row>0</xdr:row>
      <xdr:rowOff>0</xdr:rowOff>
    </xdr:from>
    <xdr:to>
      <xdr:col>9</xdr:col>
      <xdr:colOff>1019735</xdr:colOff>
      <xdr:row>1</xdr:row>
      <xdr:rowOff>0</xdr:rowOff>
    </xdr:to>
    <xdr:sp macro="" textlink="">
      <xdr:nvSpPr>
        <xdr:cNvPr id="3" name="กล่องข้อความ 2"/>
        <xdr:cNvSpPr txBox="1"/>
      </xdr:nvSpPr>
      <xdr:spPr>
        <a:xfrm>
          <a:off x="9752174" y="0"/>
          <a:ext cx="2025208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แบบ  ปร.4  แผ่นที่ ........../...........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1293771</xdr:colOff>
      <xdr:row>0</xdr:row>
      <xdr:rowOff>0</xdr:rowOff>
    </xdr:from>
    <xdr:to>
      <xdr:col>10</xdr:col>
      <xdr:colOff>0</xdr:colOff>
      <xdr:row>1</xdr:row>
      <xdr:rowOff>89647</xdr:rowOff>
    </xdr:to>
    <xdr:sp macro="" textlink="">
      <xdr:nvSpPr>
        <xdr:cNvPr id="2" name="กล่องข้อความ 1"/>
        <xdr:cNvSpPr txBox="1"/>
      </xdr:nvSpPr>
      <xdr:spPr>
        <a:xfrm>
          <a:off x="12498635" y="0"/>
          <a:ext cx="2031320" cy="436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แบบ  ปร.4  แผ่นที่ ........../...........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10</xdr:col>
      <xdr:colOff>0</xdr:colOff>
      <xdr:row>0</xdr:row>
      <xdr:rowOff>247549</xdr:rowOff>
    </xdr:to>
    <xdr:sp macro="" textlink="">
      <xdr:nvSpPr>
        <xdr:cNvPr id="3" name="กล่องข้อความ 2"/>
        <xdr:cNvSpPr txBox="1"/>
      </xdr:nvSpPr>
      <xdr:spPr>
        <a:xfrm>
          <a:off x="9591675" y="0"/>
          <a:ext cx="2105025" cy="247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แบบ  ปร.4  แผ่นที่ ........../...........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3"/>
  <sheetViews>
    <sheetView tabSelected="1" topLeftCell="A7" zoomScale="115" zoomScaleNormal="115" zoomScaleSheetLayoutView="70" workbookViewId="0">
      <selection activeCell="C12" sqref="C12"/>
    </sheetView>
  </sheetViews>
  <sheetFormatPr defaultRowHeight="15" x14ac:dyDescent="0.25"/>
  <cols>
    <col min="1" max="1" width="8.25" style="2" customWidth="1"/>
    <col min="2" max="2" width="44.5" style="2" customWidth="1"/>
    <col min="3" max="3" width="13.125" style="2" customWidth="1"/>
    <col min="4" max="4" width="9" style="2"/>
    <col min="5" max="5" width="16.875" style="2" customWidth="1"/>
    <col min="6" max="6" width="11" style="2" customWidth="1"/>
    <col min="7" max="7" width="9" style="2"/>
    <col min="8" max="8" width="13.125" style="2" bestFit="1" customWidth="1"/>
    <col min="9" max="9" width="10.375" style="2" bestFit="1" customWidth="1"/>
    <col min="10" max="16384" width="9" style="2"/>
  </cols>
  <sheetData>
    <row r="1" spans="1:6" ht="20.25" x14ac:dyDescent="0.3">
      <c r="B1" s="53"/>
      <c r="C1" s="53"/>
      <c r="D1" s="53"/>
      <c r="E1" s="53"/>
      <c r="F1" s="54" t="s">
        <v>193</v>
      </c>
    </row>
    <row r="2" spans="1:6" ht="20.25" x14ac:dyDescent="0.3">
      <c r="A2" s="55" t="s">
        <v>113</v>
      </c>
      <c r="B2" s="55"/>
      <c r="C2" s="55"/>
      <c r="D2" s="55"/>
      <c r="E2" s="55"/>
      <c r="F2" s="55"/>
    </row>
    <row r="3" spans="1:6" ht="20.25" x14ac:dyDescent="0.3">
      <c r="A3" s="4" t="s">
        <v>197</v>
      </c>
      <c r="B3" s="4"/>
      <c r="C3" s="4"/>
      <c r="D3" s="4"/>
      <c r="E3" s="4"/>
      <c r="F3" s="4"/>
    </row>
    <row r="4" spans="1:6" ht="20.25" x14ac:dyDescent="0.3">
      <c r="A4" s="4" t="s">
        <v>199</v>
      </c>
      <c r="B4" s="4"/>
      <c r="C4" s="4"/>
      <c r="D4" s="4"/>
      <c r="E4" s="4"/>
      <c r="F4" s="4"/>
    </row>
    <row r="5" spans="1:6" ht="20.25" x14ac:dyDescent="0.3">
      <c r="A5" s="56" t="s">
        <v>170</v>
      </c>
      <c r="B5" s="6"/>
      <c r="C5" s="6"/>
      <c r="D5" s="6"/>
      <c r="E5" s="6"/>
      <c r="F5" s="6"/>
    </row>
    <row r="6" spans="1:6" ht="20.25" x14ac:dyDescent="0.3">
      <c r="A6" s="6" t="s">
        <v>196</v>
      </c>
      <c r="B6" s="6"/>
      <c r="C6" s="57"/>
      <c r="D6" s="57"/>
      <c r="E6" s="57"/>
      <c r="F6" s="6"/>
    </row>
    <row r="7" spans="1:6" ht="20.25" x14ac:dyDescent="0.3">
      <c r="A7" s="7" t="s">
        <v>205</v>
      </c>
      <c r="B7" s="6"/>
      <c r="C7" s="6"/>
      <c r="D7" s="58"/>
      <c r="E7" s="6"/>
      <c r="F7" s="6"/>
    </row>
    <row r="8" spans="1:6" ht="20.25" x14ac:dyDescent="0.3">
      <c r="A8" s="59"/>
      <c r="B8" s="59"/>
      <c r="C8" s="59"/>
      <c r="D8" s="59"/>
      <c r="E8" s="59"/>
      <c r="F8" s="60" t="s">
        <v>81</v>
      </c>
    </row>
    <row r="9" spans="1:6" ht="46.5" customHeight="1" x14ac:dyDescent="0.25">
      <c r="A9" s="61" t="s">
        <v>12</v>
      </c>
      <c r="B9" s="61" t="s">
        <v>13</v>
      </c>
      <c r="C9" s="61" t="s">
        <v>84</v>
      </c>
      <c r="D9" s="61" t="s">
        <v>14</v>
      </c>
      <c r="E9" s="61" t="s">
        <v>114</v>
      </c>
      <c r="F9" s="61" t="s">
        <v>19</v>
      </c>
    </row>
    <row r="10" spans="1:6" ht="23.25" x14ac:dyDescent="0.35">
      <c r="A10" s="62"/>
      <c r="B10" s="63" t="s">
        <v>132</v>
      </c>
      <c r="C10" s="64"/>
      <c r="D10" s="64"/>
      <c r="E10" s="64"/>
      <c r="F10" s="64"/>
    </row>
    <row r="11" spans="1:6" ht="23.25" x14ac:dyDescent="0.35">
      <c r="A11" s="65">
        <v>1</v>
      </c>
      <c r="B11" s="66" t="s">
        <v>153</v>
      </c>
      <c r="C11" s="67">
        <f>((ปร.5!C13*ปร.5!D15)+(ปร.5!C17*ปร.5!D19))/3</f>
        <v>521681.32474755001</v>
      </c>
      <c r="D11" s="67">
        <v>3</v>
      </c>
      <c r="E11" s="67">
        <f>C11*D11</f>
        <v>1565043.97424265</v>
      </c>
      <c r="F11" s="64"/>
    </row>
    <row r="12" spans="1:6" ht="23.25" x14ac:dyDescent="0.35">
      <c r="A12" s="65">
        <v>2</v>
      </c>
      <c r="B12" s="68" t="s">
        <v>154</v>
      </c>
      <c r="C12" s="67">
        <f>((ปร.5!C14*ปร.5!D15)+(ปร.5!C18*ปร.5!D19))/2</f>
        <v>451838.80168821599</v>
      </c>
      <c r="D12" s="17">
        <v>2</v>
      </c>
      <c r="E12" s="17">
        <f>C12*D12</f>
        <v>903677.60337643197</v>
      </c>
      <c r="F12" s="64"/>
    </row>
    <row r="13" spans="1:6" ht="23.25" x14ac:dyDescent="0.35">
      <c r="A13" s="65"/>
      <c r="B13" s="69"/>
      <c r="C13" s="17"/>
      <c r="D13" s="17"/>
      <c r="E13" s="70"/>
      <c r="F13" s="64"/>
    </row>
    <row r="14" spans="1:6" ht="23.25" x14ac:dyDescent="0.35">
      <c r="A14" s="65"/>
      <c r="B14" s="69"/>
      <c r="C14" s="17"/>
      <c r="D14" s="17"/>
      <c r="E14" s="70"/>
      <c r="F14" s="64"/>
    </row>
    <row r="15" spans="1:6" ht="23.25" x14ac:dyDescent="0.35">
      <c r="A15" s="64"/>
      <c r="B15" s="71"/>
      <c r="C15" s="72"/>
      <c r="D15" s="72"/>
      <c r="E15" s="73"/>
      <c r="F15" s="64"/>
    </row>
    <row r="16" spans="1:6" ht="23.25" x14ac:dyDescent="0.35">
      <c r="A16" s="64"/>
      <c r="B16" s="62"/>
      <c r="C16" s="74"/>
      <c r="D16" s="74"/>
      <c r="E16" s="73"/>
      <c r="F16" s="64"/>
    </row>
    <row r="17" spans="1:8" ht="23.25" x14ac:dyDescent="0.35">
      <c r="A17" s="62"/>
      <c r="B17" s="62"/>
      <c r="C17" s="64"/>
      <c r="D17" s="64"/>
      <c r="E17" s="64"/>
      <c r="F17" s="64"/>
    </row>
    <row r="18" spans="1:8" ht="23.25" x14ac:dyDescent="0.35">
      <c r="A18" s="62"/>
      <c r="B18" s="75"/>
      <c r="C18" s="64"/>
      <c r="D18" s="64"/>
      <c r="E18" s="64"/>
      <c r="F18" s="64"/>
    </row>
    <row r="19" spans="1:8" ht="20.25" x14ac:dyDescent="0.3">
      <c r="A19" s="76" t="s">
        <v>115</v>
      </c>
      <c r="B19" s="77" t="s">
        <v>88</v>
      </c>
      <c r="C19" s="78"/>
      <c r="D19" s="78"/>
      <c r="E19" s="79">
        <f>SUM(E11:E13)</f>
        <v>2468721.5776190818</v>
      </c>
      <c r="F19" s="78"/>
    </row>
    <row r="20" spans="1:8" ht="21" thickBot="1" x14ac:dyDescent="0.35">
      <c r="A20" s="76"/>
      <c r="B20" s="80" t="s">
        <v>116</v>
      </c>
      <c r="C20" s="81"/>
      <c r="D20" s="81"/>
      <c r="E20" s="82">
        <f>_xlfn.FLOOR.MATH(E19,10000)</f>
        <v>2460000</v>
      </c>
      <c r="F20" s="81"/>
      <c r="H20" s="83"/>
    </row>
    <row r="21" spans="1:8" ht="21.75" thickTop="1" thickBot="1" x14ac:dyDescent="0.35">
      <c r="A21" s="76"/>
      <c r="B21" s="84" t="s">
        <v>117</v>
      </c>
      <c r="C21" s="85" t="str">
        <f>BAHTTEXT(E20)</f>
        <v>สองล้านสี่แสนหกหมื่นบาทถ้วน</v>
      </c>
      <c r="D21" s="85"/>
      <c r="E21" s="85"/>
      <c r="F21" s="85"/>
    </row>
    <row r="22" spans="1:8" ht="21" thickTop="1" x14ac:dyDescent="0.3">
      <c r="A22" s="86"/>
      <c r="B22" s="87"/>
      <c r="C22" s="87"/>
      <c r="D22" s="87"/>
      <c r="E22" s="87"/>
      <c r="F22" s="87"/>
    </row>
    <row r="23" spans="1:8" ht="23.25" x14ac:dyDescent="0.35">
      <c r="A23" s="49" t="s">
        <v>207</v>
      </c>
      <c r="B23" s="49"/>
      <c r="C23" s="49"/>
      <c r="D23" s="49"/>
      <c r="E23" s="49"/>
      <c r="F23" s="49"/>
    </row>
    <row r="24" spans="1:8" ht="23.25" x14ac:dyDescent="0.35">
      <c r="A24" s="49" t="s">
        <v>155</v>
      </c>
      <c r="B24" s="49"/>
      <c r="C24" s="49"/>
      <c r="D24" s="49"/>
      <c r="E24" s="49"/>
      <c r="F24" s="49"/>
    </row>
    <row r="25" spans="1:8" ht="23.25" x14ac:dyDescent="0.35">
      <c r="A25" s="49" t="s">
        <v>89</v>
      </c>
      <c r="B25" s="49"/>
      <c r="C25" s="49"/>
      <c r="D25" s="49"/>
      <c r="E25" s="49"/>
      <c r="F25" s="49"/>
    </row>
    <row r="26" spans="1:8" ht="23.25" x14ac:dyDescent="0.35">
      <c r="A26" s="51"/>
      <c r="B26" s="51"/>
      <c r="C26" s="51"/>
      <c r="D26" s="51"/>
      <c r="E26" s="51"/>
      <c r="F26" s="51"/>
    </row>
    <row r="27" spans="1:8" ht="23.25" x14ac:dyDescent="0.35">
      <c r="A27" s="49" t="s">
        <v>207</v>
      </c>
      <c r="B27" s="49"/>
      <c r="C27" s="49"/>
      <c r="D27" s="49"/>
      <c r="E27" s="49"/>
      <c r="F27" s="49"/>
    </row>
    <row r="28" spans="1:8" ht="23.25" x14ac:dyDescent="0.35">
      <c r="A28" s="49" t="s">
        <v>156</v>
      </c>
      <c r="B28" s="49"/>
      <c r="C28" s="49"/>
      <c r="D28" s="49"/>
      <c r="E28" s="49"/>
      <c r="F28" s="49"/>
    </row>
    <row r="29" spans="1:8" ht="23.25" x14ac:dyDescent="0.35">
      <c r="A29" s="49" t="s">
        <v>90</v>
      </c>
      <c r="B29" s="49"/>
      <c r="C29" s="49"/>
      <c r="D29" s="49"/>
      <c r="E29" s="49"/>
      <c r="F29" s="49"/>
    </row>
    <row r="30" spans="1:8" ht="22.5" customHeight="1" x14ac:dyDescent="0.35">
      <c r="A30" s="52"/>
      <c r="B30" s="52"/>
      <c r="C30" s="52"/>
      <c r="D30" s="52"/>
      <c r="E30" s="52"/>
      <c r="F30" s="52"/>
    </row>
    <row r="31" spans="1:8" ht="23.25" x14ac:dyDescent="0.35">
      <c r="A31" s="49" t="s">
        <v>207</v>
      </c>
      <c r="B31" s="49"/>
      <c r="C31" s="49"/>
      <c r="D31" s="49"/>
      <c r="E31" s="49"/>
      <c r="F31" s="49"/>
    </row>
    <row r="32" spans="1:8" ht="23.25" x14ac:dyDescent="0.35">
      <c r="A32" s="49" t="s">
        <v>157</v>
      </c>
      <c r="B32" s="49"/>
      <c r="C32" s="49"/>
      <c r="D32" s="49"/>
      <c r="E32" s="49"/>
      <c r="F32" s="49"/>
    </row>
    <row r="33" spans="1:6" ht="23.25" x14ac:dyDescent="0.35">
      <c r="A33" s="49" t="s">
        <v>90</v>
      </c>
      <c r="B33" s="49"/>
      <c r="C33" s="49"/>
      <c r="D33" s="49"/>
      <c r="E33" s="49"/>
      <c r="F33" s="49"/>
    </row>
  </sheetData>
  <mergeCells count="13">
    <mergeCell ref="A2:F2"/>
    <mergeCell ref="C6:E6"/>
    <mergeCell ref="A27:F27"/>
    <mergeCell ref="A28:F28"/>
    <mergeCell ref="A29:F29"/>
    <mergeCell ref="A19:A21"/>
    <mergeCell ref="C21:F21"/>
    <mergeCell ref="A33:F33"/>
    <mergeCell ref="A23:F23"/>
    <mergeCell ref="A24:F24"/>
    <mergeCell ref="A25:F25"/>
    <mergeCell ref="A31:F31"/>
    <mergeCell ref="A32:F32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8"/>
  <sheetViews>
    <sheetView topLeftCell="A6" zoomScale="85" zoomScaleNormal="85" zoomScaleSheetLayoutView="85" workbookViewId="0">
      <selection activeCell="B19" sqref="B19"/>
    </sheetView>
  </sheetViews>
  <sheetFormatPr defaultRowHeight="15" x14ac:dyDescent="0.25"/>
  <cols>
    <col min="1" max="1" width="9" style="2"/>
    <col min="2" max="2" width="33" style="2" customWidth="1"/>
    <col min="3" max="3" width="14.625" style="2" customWidth="1"/>
    <col min="4" max="4" width="8.625" style="2" bestFit="1" customWidth="1"/>
    <col min="5" max="5" width="15" style="2" customWidth="1"/>
    <col min="6" max="6" width="23" style="2" customWidth="1"/>
    <col min="7" max="7" width="9" style="2"/>
    <col min="8" max="8" width="10.625" style="2" bestFit="1" customWidth="1"/>
    <col min="9" max="9" width="14.375" style="2" bestFit="1" customWidth="1"/>
    <col min="10" max="10" width="9.25" style="2" bestFit="1" customWidth="1"/>
    <col min="11" max="11" width="9" style="2" bestFit="1" customWidth="1"/>
    <col min="12" max="13" width="7.875" style="2" bestFit="1" customWidth="1"/>
    <col min="14" max="16384" width="9" style="2"/>
  </cols>
  <sheetData>
    <row r="1" spans="1:13" ht="20.25" x14ac:dyDescent="0.3">
      <c r="A1" s="1" t="s">
        <v>195</v>
      </c>
      <c r="B1" s="1"/>
      <c r="C1" s="1"/>
      <c r="D1" s="1"/>
      <c r="E1" s="1"/>
      <c r="F1" s="1"/>
    </row>
    <row r="2" spans="1:13" ht="26.25" x14ac:dyDescent="0.4">
      <c r="A2" s="3" t="s">
        <v>194</v>
      </c>
      <c r="B2" s="3"/>
      <c r="C2" s="3"/>
      <c r="D2" s="3"/>
      <c r="E2" s="3"/>
      <c r="F2" s="3"/>
    </row>
    <row r="3" spans="1:13" ht="20.25" x14ac:dyDescent="0.3">
      <c r="A3" s="4" t="s">
        <v>197</v>
      </c>
      <c r="B3" s="4"/>
      <c r="C3" s="4"/>
      <c r="D3" s="4"/>
      <c r="E3" s="4"/>
      <c r="F3" s="4"/>
    </row>
    <row r="4" spans="1:13" ht="20.25" x14ac:dyDescent="0.3">
      <c r="A4" s="4" t="s">
        <v>198</v>
      </c>
      <c r="B4" s="4"/>
      <c r="C4" s="4"/>
      <c r="D4" s="4"/>
      <c r="E4" s="4"/>
      <c r="F4" s="4"/>
    </row>
    <row r="5" spans="1:13" ht="20.25" x14ac:dyDescent="0.3">
      <c r="A5" s="5" t="s">
        <v>170</v>
      </c>
      <c r="B5" s="6"/>
      <c r="C5" s="6"/>
      <c r="D5" s="6"/>
      <c r="E5" s="6"/>
      <c r="F5" s="6"/>
    </row>
    <row r="6" spans="1:13" ht="20.25" x14ac:dyDescent="0.3">
      <c r="A6" s="6" t="s">
        <v>196</v>
      </c>
      <c r="B6" s="6"/>
      <c r="C6" s="6"/>
      <c r="D6" s="6"/>
      <c r="E6" s="6"/>
      <c r="F6" s="6"/>
    </row>
    <row r="7" spans="1:13" ht="20.25" x14ac:dyDescent="0.3">
      <c r="A7" s="6" t="s">
        <v>201</v>
      </c>
      <c r="B7" s="6"/>
      <c r="C7" s="6"/>
      <c r="D7" s="6"/>
      <c r="E7" s="6"/>
      <c r="F7" s="6"/>
    </row>
    <row r="8" spans="1:13" ht="20.25" x14ac:dyDescent="0.3">
      <c r="A8" s="7" t="s">
        <v>205</v>
      </c>
      <c r="B8" s="6"/>
      <c r="C8" s="8"/>
      <c r="D8" s="9"/>
      <c r="E8" s="6"/>
      <c r="F8" s="6"/>
    </row>
    <row r="9" spans="1:13" ht="20.25" x14ac:dyDescent="0.3">
      <c r="A9" s="10" t="s">
        <v>81</v>
      </c>
      <c r="B9" s="10"/>
      <c r="C9" s="10"/>
      <c r="D9" s="10"/>
      <c r="E9" s="10"/>
      <c r="F9" s="10"/>
    </row>
    <row r="10" spans="1:13" ht="20.25" x14ac:dyDescent="0.25">
      <c r="A10" s="11" t="s">
        <v>12</v>
      </c>
      <c r="B10" s="11" t="s">
        <v>13</v>
      </c>
      <c r="C10" s="11" t="s">
        <v>82</v>
      </c>
      <c r="D10" s="12" t="s">
        <v>83</v>
      </c>
      <c r="E10" s="11" t="s">
        <v>84</v>
      </c>
      <c r="F10" s="11" t="s">
        <v>19</v>
      </c>
    </row>
    <row r="11" spans="1:13" ht="20.25" x14ac:dyDescent="0.25">
      <c r="A11" s="13"/>
      <c r="B11" s="13"/>
      <c r="C11" s="13"/>
      <c r="D11" s="14" t="s">
        <v>200</v>
      </c>
      <c r="E11" s="13"/>
      <c r="F11" s="13"/>
    </row>
    <row r="12" spans="1:13" ht="20.25" x14ac:dyDescent="0.3">
      <c r="A12" s="15">
        <v>1</v>
      </c>
      <c r="B12" s="16" t="s">
        <v>91</v>
      </c>
      <c r="C12" s="17"/>
      <c r="D12" s="18"/>
      <c r="E12" s="17"/>
      <c r="F12" s="19"/>
      <c r="H12" s="2" t="s">
        <v>141</v>
      </c>
      <c r="I12" s="2" t="s">
        <v>142</v>
      </c>
      <c r="J12" s="2" t="s">
        <v>14</v>
      </c>
      <c r="K12" s="2" t="s">
        <v>143</v>
      </c>
      <c r="L12" s="2" t="s">
        <v>144</v>
      </c>
    </row>
    <row r="13" spans="1:13" ht="18.75" x14ac:dyDescent="0.3">
      <c r="A13" s="20">
        <v>1.1000000000000001</v>
      </c>
      <c r="B13" s="21" t="s">
        <v>153</v>
      </c>
      <c r="C13" s="22">
        <f>+'ปร.4 ก่อสร้าง (เกษตร)'!I71</f>
        <v>867397.84950000001</v>
      </c>
      <c r="D13" s="23" t="s">
        <v>136</v>
      </c>
      <c r="E13" s="22"/>
      <c r="F13" s="24"/>
      <c r="G13" s="2" t="s">
        <v>140</v>
      </c>
      <c r="H13" s="25">
        <v>520000</v>
      </c>
      <c r="I13" s="25">
        <f>(C13*D15)+(C17*D19)</f>
        <v>1565043.97424265</v>
      </c>
      <c r="J13" s="25">
        <v>3</v>
      </c>
      <c r="K13" s="25">
        <f>+I13/J13</f>
        <v>521681.32474755001</v>
      </c>
      <c r="L13" s="25">
        <f>K13-H13</f>
        <v>1681.3247475500102</v>
      </c>
      <c r="M13" s="25">
        <f>+L13*J13</f>
        <v>5043.9742426500306</v>
      </c>
    </row>
    <row r="14" spans="1:13" ht="18.75" x14ac:dyDescent="0.3">
      <c r="A14" s="20">
        <v>1.2</v>
      </c>
      <c r="B14" s="21" t="s">
        <v>154</v>
      </c>
      <c r="C14" s="22">
        <f>+'ปร.4 ก่อสร้าง (ประปา)'!I69</f>
        <v>274375.41456</v>
      </c>
      <c r="D14" s="23" t="s">
        <v>136</v>
      </c>
      <c r="E14" s="22"/>
      <c r="F14" s="24"/>
      <c r="G14" s="2" t="s">
        <v>139</v>
      </c>
      <c r="H14" s="25">
        <v>450000</v>
      </c>
      <c r="I14" s="25">
        <f>(C14*D15)+(C18*D19)</f>
        <v>903677.60337643197</v>
      </c>
      <c r="J14" s="25">
        <v>2</v>
      </c>
      <c r="K14" s="25">
        <f>+I14/J14</f>
        <v>451838.80168821599</v>
      </c>
      <c r="L14" s="25">
        <f>K14-H14</f>
        <v>1838.8016882159864</v>
      </c>
      <c r="M14" s="25">
        <f>+L14*J14</f>
        <v>3677.6033764319727</v>
      </c>
    </row>
    <row r="15" spans="1:13" ht="18.75" x14ac:dyDescent="0.3">
      <c r="A15" s="26"/>
      <c r="B15" s="27" t="s">
        <v>85</v>
      </c>
      <c r="C15" s="28">
        <f>SUM(C13:C14)</f>
        <v>1141773.26406</v>
      </c>
      <c r="D15" s="29">
        <v>1.3047</v>
      </c>
      <c r="E15" s="30">
        <f>+D15*C15</f>
        <v>1489671.5776190818</v>
      </c>
      <c r="F15" s="31"/>
      <c r="H15" s="25"/>
      <c r="I15" s="25"/>
      <c r="J15" s="25"/>
      <c r="K15" s="25"/>
      <c r="L15" s="25"/>
      <c r="M15" s="25">
        <f>SUM(M13:M14)</f>
        <v>8721.5776190820034</v>
      </c>
    </row>
    <row r="16" spans="1:13" ht="20.25" x14ac:dyDescent="0.3">
      <c r="A16" s="32">
        <v>2</v>
      </c>
      <c r="B16" s="33" t="s">
        <v>137</v>
      </c>
      <c r="C16" s="34"/>
      <c r="D16" s="35"/>
      <c r="E16" s="34"/>
      <c r="F16" s="19"/>
    </row>
    <row r="17" spans="1:9" ht="18.75" x14ac:dyDescent="0.3">
      <c r="A17" s="36">
        <v>2.1</v>
      </c>
      <c r="B17" s="21" t="s">
        <v>153</v>
      </c>
      <c r="C17" s="37">
        <f>+'ปร.4 ครุภันฑ์ (เกษตร)'!I14</f>
        <v>405000</v>
      </c>
      <c r="D17" s="38" t="s">
        <v>136</v>
      </c>
      <c r="E17" s="37"/>
      <c r="F17" s="24"/>
    </row>
    <row r="18" spans="1:9" ht="18.75" x14ac:dyDescent="0.3">
      <c r="A18" s="36">
        <v>2.2000000000000002</v>
      </c>
      <c r="B18" s="21" t="s">
        <v>154</v>
      </c>
      <c r="C18" s="37">
        <f>+'ปร.4 ครุภัณฑ์ (ประปา)'!I14</f>
        <v>510000</v>
      </c>
      <c r="D18" s="38" t="s">
        <v>136</v>
      </c>
      <c r="E18" s="37"/>
      <c r="F18" s="24"/>
      <c r="H18" s="2" t="s">
        <v>146</v>
      </c>
      <c r="I18" s="25">
        <f>C15</f>
        <v>1141773.26406</v>
      </c>
    </row>
    <row r="19" spans="1:9" ht="18.75" x14ac:dyDescent="0.3">
      <c r="A19" s="31"/>
      <c r="B19" s="27" t="s">
        <v>86</v>
      </c>
      <c r="C19" s="39">
        <f>SUM(C17:C18)</f>
        <v>915000</v>
      </c>
      <c r="D19" s="39">
        <v>1.07</v>
      </c>
      <c r="E19" s="39">
        <f>+D19*C19</f>
        <v>979050</v>
      </c>
      <c r="F19" s="31"/>
      <c r="I19" s="2" t="s">
        <v>147</v>
      </c>
    </row>
    <row r="20" spans="1:9" ht="18.75" x14ac:dyDescent="0.3">
      <c r="A20" s="40"/>
      <c r="B20" s="41"/>
      <c r="C20" s="42"/>
      <c r="D20" s="42"/>
      <c r="E20" s="42"/>
      <c r="F20" s="40"/>
      <c r="H20" s="25">
        <f>I18</f>
        <v>1141773.26406</v>
      </c>
      <c r="I20" s="2" t="s">
        <v>148</v>
      </c>
    </row>
    <row r="21" spans="1:9" ht="20.25" x14ac:dyDescent="0.3">
      <c r="A21" s="19"/>
      <c r="B21" s="33" t="s">
        <v>87</v>
      </c>
      <c r="C21" s="19"/>
      <c r="D21" s="19"/>
      <c r="E21" s="19"/>
      <c r="F21" s="19"/>
      <c r="H21" s="25">
        <v>1000000</v>
      </c>
      <c r="I21" s="2" t="s">
        <v>150</v>
      </c>
    </row>
    <row r="22" spans="1:9" ht="20.25" x14ac:dyDescent="0.3">
      <c r="A22" s="19"/>
      <c r="B22" s="19" t="s">
        <v>209</v>
      </c>
      <c r="C22" s="19"/>
      <c r="D22" s="19"/>
      <c r="E22" s="19"/>
      <c r="F22" s="19"/>
      <c r="H22" s="25">
        <v>2000000</v>
      </c>
      <c r="I22" s="2" t="s">
        <v>149</v>
      </c>
    </row>
    <row r="23" spans="1:9" ht="20.25" x14ac:dyDescent="0.3">
      <c r="A23" s="19"/>
      <c r="B23" s="19" t="s">
        <v>210</v>
      </c>
      <c r="C23" s="19"/>
      <c r="D23" s="19"/>
      <c r="E23" s="19"/>
      <c r="F23" s="19"/>
      <c r="H23" s="2">
        <v>1.3049999999999999</v>
      </c>
      <c r="I23" s="2" t="s">
        <v>151</v>
      </c>
    </row>
    <row r="24" spans="1:9" ht="20.25" x14ac:dyDescent="0.3">
      <c r="A24" s="19"/>
      <c r="B24" s="19" t="s">
        <v>108</v>
      </c>
      <c r="C24" s="19"/>
      <c r="D24" s="19"/>
      <c r="E24" s="19"/>
      <c r="F24" s="19"/>
      <c r="H24" s="2">
        <v>1.3035000000000001</v>
      </c>
      <c r="I24" s="2" t="s">
        <v>152</v>
      </c>
    </row>
    <row r="25" spans="1:9" ht="21" thickBot="1" x14ac:dyDescent="0.35">
      <c r="A25" s="43"/>
      <c r="B25" s="43" t="s">
        <v>109</v>
      </c>
      <c r="C25" s="43"/>
      <c r="D25" s="43"/>
      <c r="E25" s="43"/>
      <c r="F25" s="43"/>
    </row>
    <row r="26" spans="1:9" ht="21.75" thickTop="1" thickBot="1" x14ac:dyDescent="0.35">
      <c r="A26" s="44" t="s">
        <v>88</v>
      </c>
      <c r="B26" s="44"/>
      <c r="C26" s="44"/>
      <c r="D26" s="44"/>
      <c r="E26" s="45">
        <f>+E19+E15</f>
        <v>2468721.5776190818</v>
      </c>
      <c r="F26" s="46"/>
      <c r="H26" s="2" t="s">
        <v>146</v>
      </c>
      <c r="I26" s="47">
        <f>H23-((H23-H24)*(H20-H21)/(H22-H21))</f>
        <v>1.3047873401039101</v>
      </c>
    </row>
    <row r="27" spans="1:9" ht="21" thickTop="1" x14ac:dyDescent="0.3">
      <c r="A27" s="48"/>
      <c r="B27" s="48"/>
      <c r="C27" s="48"/>
      <c r="D27" s="48"/>
      <c r="E27" s="48"/>
      <c r="F27" s="48"/>
    </row>
    <row r="28" spans="1:9" ht="23.25" x14ac:dyDescent="0.35">
      <c r="A28" s="49" t="s">
        <v>207</v>
      </c>
      <c r="B28" s="49"/>
      <c r="C28" s="49"/>
      <c r="D28" s="49"/>
      <c r="E28" s="49"/>
      <c r="F28" s="49"/>
      <c r="G28" s="50"/>
    </row>
    <row r="29" spans="1:9" ht="23.25" x14ac:dyDescent="0.35">
      <c r="A29" s="49" t="s">
        <v>155</v>
      </c>
      <c r="B29" s="49"/>
      <c r="C29" s="49"/>
      <c r="D29" s="49"/>
      <c r="E29" s="49"/>
      <c r="F29" s="49"/>
      <c r="G29" s="50"/>
    </row>
    <row r="30" spans="1:9" ht="23.25" x14ac:dyDescent="0.35">
      <c r="A30" s="49" t="s">
        <v>89</v>
      </c>
      <c r="B30" s="49"/>
      <c r="C30" s="49"/>
      <c r="D30" s="49"/>
      <c r="E30" s="49"/>
      <c r="F30" s="49"/>
      <c r="G30" s="50"/>
    </row>
    <row r="31" spans="1:9" ht="23.25" x14ac:dyDescent="0.35">
      <c r="A31" s="51"/>
      <c r="B31" s="51"/>
      <c r="C31" s="51"/>
      <c r="D31" s="51"/>
      <c r="E31" s="51"/>
      <c r="F31" s="51"/>
      <c r="G31" s="51"/>
    </row>
    <row r="32" spans="1:9" ht="23.25" x14ac:dyDescent="0.35">
      <c r="A32" s="49" t="s">
        <v>207</v>
      </c>
      <c r="B32" s="49"/>
      <c r="C32" s="49"/>
      <c r="D32" s="49"/>
      <c r="E32" s="49"/>
      <c r="F32" s="49"/>
      <c r="G32" s="50"/>
    </row>
    <row r="33" spans="1:7" ht="23.25" x14ac:dyDescent="0.35">
      <c r="A33" s="49" t="s">
        <v>156</v>
      </c>
      <c r="B33" s="49"/>
      <c r="C33" s="49"/>
      <c r="D33" s="49"/>
      <c r="E33" s="49"/>
      <c r="F33" s="49"/>
      <c r="G33" s="50"/>
    </row>
    <row r="34" spans="1:7" ht="23.25" x14ac:dyDescent="0.35">
      <c r="A34" s="49" t="s">
        <v>90</v>
      </c>
      <c r="B34" s="49"/>
      <c r="C34" s="49"/>
      <c r="D34" s="49"/>
      <c r="E34" s="49"/>
      <c r="F34" s="49"/>
      <c r="G34" s="50"/>
    </row>
    <row r="35" spans="1:7" ht="23.25" x14ac:dyDescent="0.35">
      <c r="A35" s="52"/>
      <c r="B35" s="52"/>
      <c r="C35" s="52"/>
      <c r="D35" s="52"/>
      <c r="E35" s="52"/>
      <c r="F35" s="52"/>
      <c r="G35" s="52"/>
    </row>
    <row r="36" spans="1:7" ht="23.25" x14ac:dyDescent="0.35">
      <c r="A36" s="49" t="s">
        <v>207</v>
      </c>
      <c r="B36" s="49"/>
      <c r="C36" s="49"/>
      <c r="D36" s="49"/>
      <c r="E36" s="49"/>
      <c r="F36" s="49"/>
      <c r="G36" s="50"/>
    </row>
    <row r="37" spans="1:7" ht="23.25" x14ac:dyDescent="0.35">
      <c r="A37" s="49" t="s">
        <v>157</v>
      </c>
      <c r="B37" s="49"/>
      <c r="C37" s="49"/>
      <c r="D37" s="49"/>
      <c r="E37" s="49"/>
      <c r="F37" s="49"/>
      <c r="G37" s="50"/>
    </row>
    <row r="38" spans="1:7" ht="23.25" x14ac:dyDescent="0.35">
      <c r="A38" s="49" t="s">
        <v>90</v>
      </c>
      <c r="B38" s="49"/>
      <c r="C38" s="49"/>
      <c r="D38" s="49"/>
      <c r="E38" s="49"/>
      <c r="F38" s="49"/>
      <c r="G38" s="50"/>
    </row>
  </sheetData>
  <mergeCells count="18">
    <mergeCell ref="A36:F36"/>
    <mergeCell ref="A37:F37"/>
    <mergeCell ref="A38:F38"/>
    <mergeCell ref="A34:F34"/>
    <mergeCell ref="A29:F29"/>
    <mergeCell ref="A30:F30"/>
    <mergeCell ref="A32:F32"/>
    <mergeCell ref="A33:F33"/>
    <mergeCell ref="A28:F28"/>
    <mergeCell ref="A1:F1"/>
    <mergeCell ref="A2:F2"/>
    <mergeCell ref="A9:F9"/>
    <mergeCell ref="A26:D26"/>
    <mergeCell ref="B10:B11"/>
    <mergeCell ref="A10:A11"/>
    <mergeCell ref="C10:C11"/>
    <mergeCell ref="E10:E11"/>
    <mergeCell ref="F10:F11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showGridLines="0" topLeftCell="A56" zoomScale="85" zoomScaleNormal="85" zoomScaleSheetLayoutView="85" workbookViewId="0">
      <selection activeCell="F76" sqref="F76"/>
    </sheetView>
  </sheetViews>
  <sheetFormatPr defaultRowHeight="15" x14ac:dyDescent="0.25"/>
  <cols>
    <col min="1" max="1" width="9.25" style="2" bestFit="1" customWidth="1"/>
    <col min="2" max="2" width="48.625" style="2" customWidth="1"/>
    <col min="3" max="3" width="9.125" style="2" bestFit="1" customWidth="1"/>
    <col min="4" max="4" width="9" style="2"/>
    <col min="5" max="5" width="14.125" style="2" bestFit="1" customWidth="1"/>
    <col min="6" max="6" width="13.5" style="2" bestFit="1" customWidth="1"/>
    <col min="7" max="7" width="13.25" style="2" customWidth="1"/>
    <col min="8" max="8" width="12.625" style="2" customWidth="1"/>
    <col min="9" max="9" width="16.625" style="2" bestFit="1" customWidth="1"/>
    <col min="10" max="10" width="43.875" style="2" customWidth="1"/>
    <col min="11" max="11" width="13.75" style="2" bestFit="1" customWidth="1"/>
    <col min="12" max="16384" width="9" style="2"/>
  </cols>
  <sheetData>
    <row r="1" spans="1:10" ht="23.25" x14ac:dyDescent="0.35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89"/>
    </row>
    <row r="3" spans="1:10" ht="20.25" x14ac:dyDescent="0.3">
      <c r="A3" s="5" t="s">
        <v>170</v>
      </c>
      <c r="B3" s="5"/>
      <c r="C3" s="5"/>
      <c r="D3" s="5"/>
      <c r="F3" s="5" t="s">
        <v>202</v>
      </c>
      <c r="G3" s="5"/>
      <c r="H3" s="5"/>
      <c r="I3" s="5" t="s">
        <v>4</v>
      </c>
      <c r="J3" s="5"/>
    </row>
    <row r="4" spans="1:10" ht="20.25" x14ac:dyDescent="0.3">
      <c r="A4" s="5" t="s">
        <v>191</v>
      </c>
      <c r="B4" s="5"/>
      <c r="C4" s="5"/>
      <c r="D4" s="5"/>
      <c r="F4" s="5" t="s">
        <v>168</v>
      </c>
      <c r="G4" s="5"/>
      <c r="H4" s="5"/>
      <c r="I4" s="5" t="s">
        <v>7</v>
      </c>
      <c r="J4" s="5"/>
    </row>
    <row r="5" spans="1:10" ht="20.25" x14ac:dyDescent="0.3">
      <c r="A5" s="5" t="s">
        <v>204</v>
      </c>
      <c r="B5" s="5"/>
      <c r="C5" s="5"/>
      <c r="D5" s="5"/>
      <c r="F5" s="5" t="s">
        <v>206</v>
      </c>
      <c r="H5" s="90"/>
      <c r="I5" s="5"/>
      <c r="J5" s="5"/>
    </row>
    <row r="6" spans="1:10" ht="20.25" x14ac:dyDescent="0.3">
      <c r="A6" s="91"/>
      <c r="B6" s="91"/>
      <c r="C6" s="92"/>
      <c r="D6" s="91"/>
      <c r="E6" s="91"/>
      <c r="F6" s="91"/>
      <c r="G6" s="91"/>
      <c r="H6" s="91"/>
      <c r="I6" s="91"/>
      <c r="J6" s="93" t="s">
        <v>81</v>
      </c>
    </row>
    <row r="7" spans="1:10" ht="20.25" x14ac:dyDescent="0.3">
      <c r="A7" s="94" t="s">
        <v>12</v>
      </c>
      <c r="B7" s="94" t="s">
        <v>13</v>
      </c>
      <c r="C7" s="94" t="s">
        <v>14</v>
      </c>
      <c r="D7" s="94" t="s">
        <v>15</v>
      </c>
      <c r="E7" s="95" t="s">
        <v>188</v>
      </c>
      <c r="F7" s="96"/>
      <c r="G7" s="97" t="s">
        <v>17</v>
      </c>
      <c r="H7" s="96"/>
      <c r="I7" s="98" t="s">
        <v>63</v>
      </c>
      <c r="J7" s="99" t="s">
        <v>19</v>
      </c>
    </row>
    <row r="8" spans="1:10" ht="20.25" x14ac:dyDescent="0.3">
      <c r="A8" s="100"/>
      <c r="B8" s="100"/>
      <c r="C8" s="100"/>
      <c r="D8" s="100"/>
      <c r="E8" s="101" t="s">
        <v>20</v>
      </c>
      <c r="F8" s="101" t="s">
        <v>21</v>
      </c>
      <c r="G8" s="102" t="s">
        <v>20</v>
      </c>
      <c r="H8" s="101" t="s">
        <v>21</v>
      </c>
      <c r="I8" s="103" t="s">
        <v>18</v>
      </c>
      <c r="J8" s="104"/>
    </row>
    <row r="9" spans="1:10" ht="20.25" x14ac:dyDescent="0.3">
      <c r="A9" s="105">
        <v>1</v>
      </c>
      <c r="B9" s="106" t="s">
        <v>22</v>
      </c>
      <c r="C9" s="107"/>
      <c r="D9" s="108"/>
      <c r="E9" s="109"/>
      <c r="F9" s="110"/>
      <c r="G9" s="111"/>
      <c r="H9" s="112"/>
      <c r="I9" s="112"/>
      <c r="J9" s="113"/>
    </row>
    <row r="10" spans="1:10" ht="20.25" x14ac:dyDescent="0.3">
      <c r="A10" s="114">
        <v>1.1000000000000001</v>
      </c>
      <c r="B10" s="115" t="s">
        <v>23</v>
      </c>
      <c r="C10" s="116">
        <v>1</v>
      </c>
      <c r="D10" s="114" t="s">
        <v>24</v>
      </c>
      <c r="E10" s="117">
        <v>0</v>
      </c>
      <c r="F10" s="117">
        <f>E10*C10</f>
        <v>0</v>
      </c>
      <c r="G10" s="118">
        <v>1000</v>
      </c>
      <c r="H10" s="117">
        <f>G10*C10</f>
        <v>1000</v>
      </c>
      <c r="I10" s="112">
        <f>H10+F10</f>
        <v>1000</v>
      </c>
      <c r="J10" s="113"/>
    </row>
    <row r="11" spans="1:10" ht="20.25" x14ac:dyDescent="0.3">
      <c r="A11" s="119" t="s">
        <v>25</v>
      </c>
      <c r="B11" s="120"/>
      <c r="C11" s="121"/>
      <c r="D11" s="121"/>
      <c r="E11" s="122"/>
      <c r="F11" s="123"/>
      <c r="G11" s="124"/>
      <c r="H11" s="125">
        <f>SUM(H10)</f>
        <v>1000</v>
      </c>
      <c r="I11" s="125">
        <f>SUM(I10)</f>
        <v>1000</v>
      </c>
      <c r="J11" s="126"/>
    </row>
    <row r="12" spans="1:10" ht="20.25" x14ac:dyDescent="0.3">
      <c r="A12" s="105">
        <v>2</v>
      </c>
      <c r="B12" s="127" t="s">
        <v>61</v>
      </c>
      <c r="C12" s="107"/>
      <c r="D12" s="114"/>
      <c r="E12" s="128"/>
      <c r="F12" s="117"/>
      <c r="G12" s="111"/>
      <c r="H12" s="129"/>
      <c r="I12" s="112"/>
      <c r="J12" s="113"/>
    </row>
    <row r="13" spans="1:10" ht="20.25" x14ac:dyDescent="0.3">
      <c r="A13" s="114">
        <v>2.1</v>
      </c>
      <c r="B13" s="130" t="s">
        <v>30</v>
      </c>
      <c r="C13" s="116">
        <v>1</v>
      </c>
      <c r="D13" s="131" t="s">
        <v>64</v>
      </c>
      <c r="E13" s="132">
        <v>5700</v>
      </c>
      <c r="F13" s="132">
        <f t="shared" ref="F13:F16" si="0">E13*C13</f>
        <v>5700</v>
      </c>
      <c r="G13" s="133">
        <v>0</v>
      </c>
      <c r="H13" s="112">
        <f t="shared" ref="H13:H16" si="1">G13*C13</f>
        <v>0</v>
      </c>
      <c r="I13" s="112">
        <f t="shared" ref="I13:I16" si="2">H13+F13</f>
        <v>5700</v>
      </c>
      <c r="J13" s="113"/>
    </row>
    <row r="14" spans="1:10" ht="20.25" x14ac:dyDescent="0.3">
      <c r="A14" s="114">
        <v>2.2000000000000002</v>
      </c>
      <c r="B14" s="130" t="s">
        <v>67</v>
      </c>
      <c r="C14" s="116">
        <v>1</v>
      </c>
      <c r="D14" s="131" t="s">
        <v>65</v>
      </c>
      <c r="E14" s="132">
        <v>5000</v>
      </c>
      <c r="F14" s="132">
        <f t="shared" si="0"/>
        <v>5000</v>
      </c>
      <c r="G14" s="118">
        <v>0</v>
      </c>
      <c r="H14" s="112">
        <f t="shared" si="1"/>
        <v>0</v>
      </c>
      <c r="I14" s="112">
        <f t="shared" si="2"/>
        <v>5000</v>
      </c>
      <c r="J14" s="134" t="s">
        <v>99</v>
      </c>
    </row>
    <row r="15" spans="1:10" ht="20.25" x14ac:dyDescent="0.3">
      <c r="A15" s="114">
        <v>2.2999999999999998</v>
      </c>
      <c r="B15" s="135" t="s">
        <v>102</v>
      </c>
      <c r="C15" s="116">
        <v>50</v>
      </c>
      <c r="D15" s="131" t="s">
        <v>75</v>
      </c>
      <c r="E15" s="132">
        <v>95</v>
      </c>
      <c r="F15" s="132">
        <f t="shared" si="0"/>
        <v>4750</v>
      </c>
      <c r="G15" s="118">
        <v>0</v>
      </c>
      <c r="H15" s="112">
        <v>0</v>
      </c>
      <c r="I15" s="112">
        <f t="shared" si="2"/>
        <v>4750</v>
      </c>
      <c r="J15" s="134" t="s">
        <v>103</v>
      </c>
    </row>
    <row r="16" spans="1:10" ht="20.25" x14ac:dyDescent="0.3">
      <c r="A16" s="114">
        <v>2.4</v>
      </c>
      <c r="B16" s="135" t="s">
        <v>32</v>
      </c>
      <c r="C16" s="116">
        <v>1</v>
      </c>
      <c r="D16" s="131" t="s">
        <v>65</v>
      </c>
      <c r="E16" s="132">
        <v>0</v>
      </c>
      <c r="F16" s="132">
        <f t="shared" si="0"/>
        <v>0</v>
      </c>
      <c r="G16" s="118">
        <v>3090</v>
      </c>
      <c r="H16" s="112">
        <f t="shared" si="1"/>
        <v>3090</v>
      </c>
      <c r="I16" s="112">
        <f t="shared" si="2"/>
        <v>3090</v>
      </c>
      <c r="J16" s="134" t="s">
        <v>101</v>
      </c>
    </row>
    <row r="17" spans="1:10" ht="20.25" x14ac:dyDescent="0.3">
      <c r="A17" s="119" t="s">
        <v>33</v>
      </c>
      <c r="B17" s="120"/>
      <c r="C17" s="121"/>
      <c r="D17" s="121"/>
      <c r="E17" s="122"/>
      <c r="F17" s="123">
        <f>SUM(F13:F16)</f>
        <v>15450</v>
      </c>
      <c r="G17" s="124"/>
      <c r="H17" s="125">
        <f>SUM(H13:H16)</f>
        <v>3090</v>
      </c>
      <c r="I17" s="125">
        <f>+H17+F17</f>
        <v>18540</v>
      </c>
      <c r="J17" s="126"/>
    </row>
    <row r="18" spans="1:10" ht="20.25" x14ac:dyDescent="0.3">
      <c r="A18" s="136">
        <v>3</v>
      </c>
      <c r="B18" s="137" t="s">
        <v>34</v>
      </c>
      <c r="C18" s="138"/>
      <c r="D18" s="139"/>
      <c r="E18" s="140"/>
      <c r="F18" s="115"/>
      <c r="G18" s="141"/>
      <c r="H18" s="115"/>
      <c r="I18" s="115"/>
      <c r="J18" s="113"/>
    </row>
    <row r="19" spans="1:10" ht="20.25" x14ac:dyDescent="0.25">
      <c r="A19" s="131">
        <v>3.1</v>
      </c>
      <c r="B19" s="142" t="s">
        <v>68</v>
      </c>
      <c r="C19" s="143">
        <v>3</v>
      </c>
      <c r="D19" s="131" t="s">
        <v>35</v>
      </c>
      <c r="E19" s="144">
        <v>766.36</v>
      </c>
      <c r="F19" s="145">
        <f t="shared" ref="F19:F24" si="3">E19*C19</f>
        <v>2299.08</v>
      </c>
      <c r="G19" s="146">
        <v>207</v>
      </c>
      <c r="H19" s="107">
        <f t="shared" ref="H19:H24" si="4">G19*C19</f>
        <v>621</v>
      </c>
      <c r="I19" s="146">
        <f t="shared" ref="I19:I24" si="5">H19+F19</f>
        <v>2920.08</v>
      </c>
      <c r="J19" s="146"/>
    </row>
    <row r="20" spans="1:10" ht="20.25" x14ac:dyDescent="0.25">
      <c r="A20" s="131">
        <v>3.2</v>
      </c>
      <c r="B20" s="142" t="s">
        <v>69</v>
      </c>
      <c r="C20" s="143">
        <v>4</v>
      </c>
      <c r="D20" s="131" t="s">
        <v>35</v>
      </c>
      <c r="E20" s="144">
        <v>689.72</v>
      </c>
      <c r="F20" s="145">
        <f t="shared" si="3"/>
        <v>2758.88</v>
      </c>
      <c r="G20" s="146">
        <v>179</v>
      </c>
      <c r="H20" s="107">
        <f t="shared" si="4"/>
        <v>716</v>
      </c>
      <c r="I20" s="146">
        <f t="shared" si="5"/>
        <v>3474.88</v>
      </c>
      <c r="J20" s="146"/>
    </row>
    <row r="21" spans="1:10" ht="20.25" x14ac:dyDescent="0.25">
      <c r="A21" s="131">
        <v>3.3</v>
      </c>
      <c r="B21" s="142" t="s">
        <v>70</v>
      </c>
      <c r="C21" s="143">
        <v>4</v>
      </c>
      <c r="D21" s="131" t="s">
        <v>35</v>
      </c>
      <c r="E21" s="144">
        <v>150</v>
      </c>
      <c r="F21" s="145">
        <f t="shared" si="3"/>
        <v>600</v>
      </c>
      <c r="G21" s="146">
        <v>120</v>
      </c>
      <c r="H21" s="107">
        <f t="shared" si="4"/>
        <v>480</v>
      </c>
      <c r="I21" s="146">
        <f t="shared" si="5"/>
        <v>1080</v>
      </c>
      <c r="J21" s="146"/>
    </row>
    <row r="22" spans="1:10" ht="20.25" x14ac:dyDescent="0.25">
      <c r="A22" s="131">
        <v>3.4</v>
      </c>
      <c r="B22" s="142" t="s">
        <v>71</v>
      </c>
      <c r="C22" s="143">
        <v>16</v>
      </c>
      <c r="D22" s="131" t="s">
        <v>54</v>
      </c>
      <c r="E22" s="144">
        <v>25</v>
      </c>
      <c r="F22" s="145">
        <f t="shared" si="3"/>
        <v>400</v>
      </c>
      <c r="G22" s="146">
        <f>+E22*0.3</f>
        <v>7.5</v>
      </c>
      <c r="H22" s="107">
        <f t="shared" si="4"/>
        <v>120</v>
      </c>
      <c r="I22" s="146">
        <f t="shared" si="5"/>
        <v>520</v>
      </c>
      <c r="J22" s="146"/>
    </row>
    <row r="23" spans="1:10" ht="20.25" x14ac:dyDescent="0.25">
      <c r="A23" s="131">
        <v>3.5</v>
      </c>
      <c r="B23" s="147" t="s">
        <v>158</v>
      </c>
      <c r="C23" s="143">
        <v>1</v>
      </c>
      <c r="D23" s="131" t="s">
        <v>65</v>
      </c>
      <c r="E23" s="144">
        <f>SUM(F19:F22)*0.2</f>
        <v>1211.5920000000001</v>
      </c>
      <c r="F23" s="145">
        <f t="shared" si="3"/>
        <v>1211.5920000000001</v>
      </c>
      <c r="G23" s="145">
        <v>0</v>
      </c>
      <c r="H23" s="107">
        <f t="shared" si="4"/>
        <v>0</v>
      </c>
      <c r="I23" s="146">
        <f t="shared" si="5"/>
        <v>1211.5920000000001</v>
      </c>
      <c r="J23" s="146" t="s">
        <v>76</v>
      </c>
    </row>
    <row r="24" spans="1:10" ht="20.25" x14ac:dyDescent="0.25">
      <c r="A24" s="131">
        <v>3.6</v>
      </c>
      <c r="B24" s="142" t="s">
        <v>72</v>
      </c>
      <c r="C24" s="143">
        <v>4</v>
      </c>
      <c r="D24" s="131" t="s">
        <v>36</v>
      </c>
      <c r="E24" s="144">
        <v>360.25</v>
      </c>
      <c r="F24" s="145">
        <f t="shared" si="3"/>
        <v>1441</v>
      </c>
      <c r="G24" s="145">
        <f>E24*0.2</f>
        <v>72.05</v>
      </c>
      <c r="H24" s="107">
        <f t="shared" si="4"/>
        <v>288.2</v>
      </c>
      <c r="I24" s="146">
        <f t="shared" si="5"/>
        <v>1729.2</v>
      </c>
      <c r="J24" s="146"/>
    </row>
    <row r="25" spans="1:10" ht="20.25" x14ac:dyDescent="0.3">
      <c r="A25" s="119" t="s">
        <v>42</v>
      </c>
      <c r="B25" s="120"/>
      <c r="C25" s="121"/>
      <c r="D25" s="121"/>
      <c r="E25" s="122"/>
      <c r="F25" s="123">
        <f>SUM(F19:F24)</f>
        <v>8710.5519999999997</v>
      </c>
      <c r="G25" s="124"/>
      <c r="H25" s="125">
        <f>SUM(H19:H24)</f>
        <v>2225.1999999999998</v>
      </c>
      <c r="I25" s="125">
        <f>SUM(I19:I24)</f>
        <v>10935.752</v>
      </c>
      <c r="J25" s="126"/>
    </row>
    <row r="26" spans="1:10" ht="24" customHeight="1" x14ac:dyDescent="0.3">
      <c r="A26" s="136">
        <v>4</v>
      </c>
      <c r="B26" s="148" t="s">
        <v>105</v>
      </c>
      <c r="C26" s="149"/>
      <c r="D26" s="150"/>
      <c r="E26" s="151"/>
      <c r="F26" s="152"/>
      <c r="G26" s="153"/>
      <c r="H26" s="154"/>
      <c r="I26" s="154"/>
      <c r="J26" s="155"/>
    </row>
    <row r="27" spans="1:10" ht="20.25" x14ac:dyDescent="0.3">
      <c r="A27" s="156">
        <v>4.0999999999999996</v>
      </c>
      <c r="B27" s="157" t="s">
        <v>159</v>
      </c>
      <c r="C27" s="158">
        <v>0.6</v>
      </c>
      <c r="D27" s="159" t="s">
        <v>37</v>
      </c>
      <c r="E27" s="160">
        <v>1995.33</v>
      </c>
      <c r="F27" s="161">
        <f>E27*C27</f>
        <v>1197.1979999999999</v>
      </c>
      <c r="G27" s="162">
        <v>436</v>
      </c>
      <c r="H27" s="163">
        <f>G27*C27</f>
        <v>261.59999999999997</v>
      </c>
      <c r="I27" s="164">
        <f>H27+F27</f>
        <v>1458.7979999999998</v>
      </c>
      <c r="J27" s="165"/>
    </row>
    <row r="28" spans="1:10" ht="20.25" x14ac:dyDescent="0.3">
      <c r="A28" s="131">
        <v>4.2</v>
      </c>
      <c r="B28" s="166" t="s">
        <v>38</v>
      </c>
      <c r="C28" s="143"/>
      <c r="D28" s="114"/>
      <c r="E28" s="167"/>
      <c r="F28" s="117"/>
      <c r="G28" s="111"/>
      <c r="H28" s="129"/>
      <c r="I28" s="112"/>
      <c r="J28" s="113"/>
    </row>
    <row r="29" spans="1:10" ht="20.25" x14ac:dyDescent="0.3">
      <c r="A29" s="114"/>
      <c r="B29" s="168" t="s">
        <v>39</v>
      </c>
      <c r="C29" s="169">
        <v>4</v>
      </c>
      <c r="D29" s="114" t="s">
        <v>35</v>
      </c>
      <c r="E29" s="170">
        <f>2.22*24.51</f>
        <v>54.412200000000006</v>
      </c>
      <c r="F29" s="117">
        <f>E29*C29</f>
        <v>217.64880000000002</v>
      </c>
      <c r="G29" s="111">
        <v>4.0999999999999996</v>
      </c>
      <c r="H29" s="171">
        <f>G29*C29</f>
        <v>16.399999999999999</v>
      </c>
      <c r="I29" s="112">
        <f>H29+F29</f>
        <v>234.04880000000003</v>
      </c>
      <c r="J29" s="113"/>
    </row>
    <row r="30" spans="1:10" ht="20.25" x14ac:dyDescent="0.3">
      <c r="A30" s="114"/>
      <c r="B30" s="168" t="s">
        <v>40</v>
      </c>
      <c r="C30" s="169">
        <v>1</v>
      </c>
      <c r="D30" s="114" t="s">
        <v>41</v>
      </c>
      <c r="E30" s="170">
        <v>44.63</v>
      </c>
      <c r="F30" s="117">
        <f>E30*C30</f>
        <v>44.63</v>
      </c>
      <c r="G30" s="111">
        <v>0</v>
      </c>
      <c r="H30" s="112">
        <f>G30*C30</f>
        <v>0</v>
      </c>
      <c r="I30" s="112">
        <f>H30+F30</f>
        <v>44.63</v>
      </c>
      <c r="J30" s="113"/>
    </row>
    <row r="31" spans="1:10" ht="20.25" x14ac:dyDescent="0.3">
      <c r="A31" s="119" t="s">
        <v>55</v>
      </c>
      <c r="B31" s="120"/>
      <c r="C31" s="121"/>
      <c r="D31" s="121"/>
      <c r="E31" s="122"/>
      <c r="F31" s="123">
        <f>SUM(F27:F30)</f>
        <v>1459.4767999999999</v>
      </c>
      <c r="G31" s="124"/>
      <c r="H31" s="125">
        <f>SUM(H27:H30)</f>
        <v>277.99999999999994</v>
      </c>
      <c r="I31" s="125">
        <f>SUM(I27:I30)</f>
        <v>1737.4767999999999</v>
      </c>
      <c r="J31" s="172"/>
    </row>
    <row r="32" spans="1:10" ht="20.25" x14ac:dyDescent="0.3">
      <c r="A32" s="136">
        <v>5</v>
      </c>
      <c r="B32" s="173" t="s">
        <v>106</v>
      </c>
      <c r="C32" s="174"/>
      <c r="D32" s="175"/>
      <c r="E32" s="170"/>
      <c r="F32" s="117"/>
      <c r="G32" s="111"/>
      <c r="H32" s="112"/>
      <c r="I32" s="112"/>
      <c r="J32" s="113"/>
    </row>
    <row r="33" spans="1:10" ht="20.25" x14ac:dyDescent="0.3">
      <c r="A33" s="131">
        <v>5.0999999999999996</v>
      </c>
      <c r="B33" s="140" t="s">
        <v>112</v>
      </c>
      <c r="C33" s="169">
        <v>1.4</v>
      </c>
      <c r="D33" s="114" t="s">
        <v>37</v>
      </c>
      <c r="E33" s="170">
        <v>467.29</v>
      </c>
      <c r="F33" s="117">
        <f>E33*C33</f>
        <v>654.20600000000002</v>
      </c>
      <c r="G33" s="111">
        <v>99</v>
      </c>
      <c r="H33" s="171">
        <f>G33*C33</f>
        <v>138.6</v>
      </c>
      <c r="I33" s="112">
        <f>H33+F33</f>
        <v>792.80600000000004</v>
      </c>
      <c r="J33" s="113"/>
    </row>
    <row r="34" spans="1:10" ht="20.25" x14ac:dyDescent="0.3">
      <c r="A34" s="176" t="s">
        <v>56</v>
      </c>
      <c r="B34" s="176"/>
      <c r="C34" s="177"/>
      <c r="D34" s="178"/>
      <c r="E34" s="179"/>
      <c r="F34" s="179">
        <f>SUM(F33)</f>
        <v>654.20600000000002</v>
      </c>
      <c r="G34" s="124"/>
      <c r="H34" s="179">
        <f>SUM(H33)</f>
        <v>138.6</v>
      </c>
      <c r="I34" s="125">
        <f>+H34+F34</f>
        <v>792.80600000000004</v>
      </c>
      <c r="J34" s="126"/>
    </row>
    <row r="35" spans="1:10" ht="20.25" x14ac:dyDescent="0.25">
      <c r="A35" s="180">
        <v>6</v>
      </c>
      <c r="B35" s="181" t="s">
        <v>100</v>
      </c>
      <c r="C35" s="182"/>
      <c r="D35" s="183"/>
      <c r="E35" s="183"/>
      <c r="F35" s="183"/>
      <c r="G35" s="183"/>
      <c r="H35" s="183"/>
      <c r="I35" s="183"/>
      <c r="J35" s="183"/>
    </row>
    <row r="36" spans="1:10" ht="20.25" x14ac:dyDescent="0.3">
      <c r="A36" s="131">
        <v>6.1</v>
      </c>
      <c r="B36" s="184" t="s">
        <v>94</v>
      </c>
      <c r="C36" s="185">
        <v>33.479999999999997</v>
      </c>
      <c r="D36" s="131" t="s">
        <v>47</v>
      </c>
      <c r="E36" s="107">
        <v>81</v>
      </c>
      <c r="F36" s="107">
        <f>E36*C36</f>
        <v>2711.8799999999997</v>
      </c>
      <c r="G36" s="107">
        <v>120</v>
      </c>
      <c r="H36" s="146">
        <f>G36*C36</f>
        <v>4017.5999999999995</v>
      </c>
      <c r="I36" s="146">
        <f>H36+F36</f>
        <v>6729.48</v>
      </c>
      <c r="J36" s="140"/>
    </row>
    <row r="37" spans="1:10" ht="20.25" x14ac:dyDescent="0.3">
      <c r="A37" s="131">
        <v>6.2</v>
      </c>
      <c r="B37" s="184" t="s">
        <v>93</v>
      </c>
      <c r="C37" s="185">
        <v>9</v>
      </c>
      <c r="D37" s="131" t="s">
        <v>35</v>
      </c>
      <c r="E37" s="107">
        <v>376</v>
      </c>
      <c r="F37" s="107">
        <f t="shared" ref="F37:F41" si="6">E37*C37</f>
        <v>3384</v>
      </c>
      <c r="G37" s="107">
        <f>(E37*30)/100</f>
        <v>112.8</v>
      </c>
      <c r="H37" s="146">
        <f t="shared" ref="H37:H38" si="7">G37*C37</f>
        <v>1015.1999999999999</v>
      </c>
      <c r="I37" s="146">
        <f t="shared" ref="I37:I41" si="8">H37+F37</f>
        <v>4399.2</v>
      </c>
      <c r="J37" s="140"/>
    </row>
    <row r="38" spans="1:10" ht="20.25" x14ac:dyDescent="0.3">
      <c r="A38" s="131">
        <v>6.3</v>
      </c>
      <c r="B38" s="184" t="s">
        <v>92</v>
      </c>
      <c r="C38" s="185">
        <v>1</v>
      </c>
      <c r="D38" s="131" t="s">
        <v>27</v>
      </c>
      <c r="E38" s="107">
        <v>450</v>
      </c>
      <c r="F38" s="107">
        <f t="shared" si="6"/>
        <v>450</v>
      </c>
      <c r="G38" s="107">
        <f>(E38*30)/100</f>
        <v>135</v>
      </c>
      <c r="H38" s="146">
        <f t="shared" si="7"/>
        <v>135</v>
      </c>
      <c r="I38" s="146">
        <f t="shared" si="8"/>
        <v>585</v>
      </c>
      <c r="J38" s="140"/>
    </row>
    <row r="39" spans="1:10" ht="20.25" x14ac:dyDescent="0.25">
      <c r="A39" s="131">
        <v>6.4</v>
      </c>
      <c r="B39" s="186" t="s">
        <v>162</v>
      </c>
      <c r="C39" s="185">
        <v>1</v>
      </c>
      <c r="D39" s="131" t="s">
        <v>36</v>
      </c>
      <c r="E39" s="107">
        <v>360.25</v>
      </c>
      <c r="F39" s="107">
        <f t="shared" si="6"/>
        <v>360.25</v>
      </c>
      <c r="G39" s="107">
        <f>E39*0.2</f>
        <v>72.05</v>
      </c>
      <c r="H39" s="146">
        <f>G39*C39</f>
        <v>72.05</v>
      </c>
      <c r="I39" s="146">
        <f t="shared" si="8"/>
        <v>432.3</v>
      </c>
      <c r="J39" s="146"/>
    </row>
    <row r="40" spans="1:10" ht="20.25" x14ac:dyDescent="0.25">
      <c r="A40" s="131">
        <v>6.5</v>
      </c>
      <c r="B40" s="186" t="s">
        <v>163</v>
      </c>
      <c r="C40" s="185">
        <v>1</v>
      </c>
      <c r="D40" s="131" t="s">
        <v>36</v>
      </c>
      <c r="E40" s="107">
        <v>560.75</v>
      </c>
      <c r="F40" s="107">
        <f t="shared" si="6"/>
        <v>560.75</v>
      </c>
      <c r="G40" s="107">
        <f>E40*0.2</f>
        <v>112.15</v>
      </c>
      <c r="H40" s="146">
        <f>G40*C40</f>
        <v>112.15</v>
      </c>
      <c r="I40" s="146">
        <f t="shared" si="8"/>
        <v>672.9</v>
      </c>
      <c r="J40" s="146"/>
    </row>
    <row r="41" spans="1:10" ht="20.25" x14ac:dyDescent="0.3">
      <c r="A41" s="131">
        <v>6.6</v>
      </c>
      <c r="B41" s="187" t="s">
        <v>95</v>
      </c>
      <c r="C41" s="133">
        <v>18</v>
      </c>
      <c r="D41" s="117" t="s">
        <v>52</v>
      </c>
      <c r="E41" s="188">
        <v>204.67</v>
      </c>
      <c r="F41" s="117">
        <f t="shared" si="6"/>
        <v>3684.06</v>
      </c>
      <c r="G41" s="111">
        <f>+E41*0.3</f>
        <v>61.400999999999996</v>
      </c>
      <c r="H41" s="146">
        <f>G41*C41</f>
        <v>1105.2179999999998</v>
      </c>
      <c r="I41" s="146">
        <f t="shared" si="8"/>
        <v>4789.2780000000002</v>
      </c>
      <c r="J41" s="113"/>
    </row>
    <row r="42" spans="1:10" ht="20.25" x14ac:dyDescent="0.3">
      <c r="A42" s="176" t="s">
        <v>57</v>
      </c>
      <c r="B42" s="176"/>
      <c r="C42" s="177"/>
      <c r="D42" s="178"/>
      <c r="E42" s="122"/>
      <c r="F42" s="123">
        <f>SUM(F36:F41)</f>
        <v>11150.939999999999</v>
      </c>
      <c r="G42" s="124"/>
      <c r="H42" s="125">
        <f>SUM(H36:H41)</f>
        <v>6457.2179999999989</v>
      </c>
      <c r="I42" s="125">
        <f>+H42+F42</f>
        <v>17608.157999999996</v>
      </c>
      <c r="J42" s="189"/>
    </row>
    <row r="43" spans="1:10" ht="20.25" x14ac:dyDescent="0.3">
      <c r="A43" s="190">
        <v>7</v>
      </c>
      <c r="B43" s="106" t="s">
        <v>74</v>
      </c>
      <c r="C43" s="191"/>
      <c r="D43" s="105"/>
      <c r="E43" s="192"/>
      <c r="F43" s="193"/>
      <c r="G43" s="194"/>
      <c r="H43" s="195"/>
      <c r="I43" s="196"/>
      <c r="J43" s="197"/>
    </row>
    <row r="44" spans="1:10" ht="20.25" x14ac:dyDescent="0.3">
      <c r="A44" s="198">
        <v>7.1</v>
      </c>
      <c r="B44" s="199" t="s">
        <v>111</v>
      </c>
      <c r="C44" s="133">
        <v>50</v>
      </c>
      <c r="D44" s="117" t="s">
        <v>75</v>
      </c>
      <c r="E44" s="188">
        <f>151.4/4</f>
        <v>37.85</v>
      </c>
      <c r="F44" s="117">
        <f>+E44*C44</f>
        <v>1892.5</v>
      </c>
      <c r="G44" s="111">
        <v>30</v>
      </c>
      <c r="H44" s="112">
        <f>+G44*C44</f>
        <v>1500</v>
      </c>
      <c r="I44" s="112">
        <f>+H44+F44</f>
        <v>3392.5</v>
      </c>
      <c r="J44" s="113"/>
    </row>
    <row r="45" spans="1:10" ht="20.25" x14ac:dyDescent="0.3">
      <c r="A45" s="198">
        <v>7.2</v>
      </c>
      <c r="B45" s="200" t="s">
        <v>110</v>
      </c>
      <c r="C45" s="107">
        <v>1</v>
      </c>
      <c r="D45" s="131" t="s">
        <v>54</v>
      </c>
      <c r="E45" s="201">
        <v>5130</v>
      </c>
      <c r="F45" s="146">
        <f>C45*E45</f>
        <v>5130</v>
      </c>
      <c r="G45" s="107">
        <v>0</v>
      </c>
      <c r="H45" s="146">
        <f>G45*C45</f>
        <v>0</v>
      </c>
      <c r="I45" s="146">
        <f>H45+F45</f>
        <v>5130</v>
      </c>
      <c r="J45" s="146"/>
    </row>
    <row r="46" spans="1:10" ht="20.25" x14ac:dyDescent="0.3">
      <c r="A46" s="198">
        <v>7.3</v>
      </c>
      <c r="B46" s="187" t="s">
        <v>77</v>
      </c>
      <c r="C46" s="133">
        <v>1</v>
      </c>
      <c r="D46" s="117" t="s">
        <v>65</v>
      </c>
      <c r="E46" s="188">
        <f>SUM(F44:F45)*0.2</f>
        <v>1404.5</v>
      </c>
      <c r="F46" s="117">
        <f>+E46*C46</f>
        <v>1404.5</v>
      </c>
      <c r="G46" s="111">
        <f>+F46*0.2</f>
        <v>280.90000000000003</v>
      </c>
      <c r="H46" s="112">
        <f>+G46*C46</f>
        <v>280.90000000000003</v>
      </c>
      <c r="I46" s="112">
        <f>+H46+F46</f>
        <v>1685.4</v>
      </c>
      <c r="J46" s="113" t="s">
        <v>145</v>
      </c>
    </row>
    <row r="47" spans="1:10" ht="20.25" x14ac:dyDescent="0.3">
      <c r="A47" s="119" t="s">
        <v>60</v>
      </c>
      <c r="B47" s="202"/>
      <c r="C47" s="177"/>
      <c r="D47" s="178"/>
      <c r="E47" s="122"/>
      <c r="F47" s="123">
        <f>SUM(F44:F46)</f>
        <v>8427</v>
      </c>
      <c r="G47" s="124"/>
      <c r="H47" s="125">
        <f>SUM(H44:H46)</f>
        <v>1780.9</v>
      </c>
      <c r="I47" s="125">
        <f>SUM(I44:I46)</f>
        <v>10207.9</v>
      </c>
      <c r="J47" s="126"/>
    </row>
    <row r="48" spans="1:10" ht="20.25" x14ac:dyDescent="0.25">
      <c r="A48" s="180">
        <v>8</v>
      </c>
      <c r="B48" s="181" t="s">
        <v>43</v>
      </c>
      <c r="C48" s="203"/>
      <c r="D48" s="203"/>
      <c r="E48" s="203"/>
      <c r="F48" s="203"/>
      <c r="G48" s="204"/>
      <c r="H48" s="203"/>
      <c r="I48" s="203"/>
      <c r="J48" s="205"/>
    </row>
    <row r="49" spans="1:11" ht="20.25" x14ac:dyDescent="0.3">
      <c r="A49" s="114">
        <v>8.1</v>
      </c>
      <c r="B49" s="115" t="s">
        <v>44</v>
      </c>
      <c r="C49" s="112">
        <v>23.5</v>
      </c>
      <c r="D49" s="114" t="s">
        <v>37</v>
      </c>
      <c r="E49" s="112">
        <v>0</v>
      </c>
      <c r="F49" s="117">
        <v>0</v>
      </c>
      <c r="G49" s="206">
        <v>125</v>
      </c>
      <c r="H49" s="112">
        <f>G49*C49</f>
        <v>2937.5</v>
      </c>
      <c r="I49" s="112">
        <f>F49+H49</f>
        <v>2937.5</v>
      </c>
      <c r="J49" s="113"/>
    </row>
    <row r="50" spans="1:11" ht="20.25" x14ac:dyDescent="0.3">
      <c r="A50" s="159">
        <v>8.1999999999999993</v>
      </c>
      <c r="B50" s="207" t="s">
        <v>45</v>
      </c>
      <c r="C50" s="164">
        <v>2.91</v>
      </c>
      <c r="D50" s="159" t="s">
        <v>37</v>
      </c>
      <c r="E50" s="164">
        <v>507.79</v>
      </c>
      <c r="F50" s="161">
        <f>E50*C50</f>
        <v>1477.6689000000001</v>
      </c>
      <c r="G50" s="208">
        <v>91</v>
      </c>
      <c r="H50" s="164">
        <f>G50*C50</f>
        <v>264.81</v>
      </c>
      <c r="I50" s="164">
        <f t="shared" ref="I50:I59" si="9">F50+H50</f>
        <v>1742.4789000000001</v>
      </c>
      <c r="J50" s="209"/>
    </row>
    <row r="51" spans="1:11" ht="20.25" x14ac:dyDescent="0.3">
      <c r="A51" s="114">
        <v>8.3000000000000007</v>
      </c>
      <c r="B51" s="115" t="s">
        <v>160</v>
      </c>
      <c r="C51" s="112">
        <v>0.9</v>
      </c>
      <c r="D51" s="114" t="s">
        <v>37</v>
      </c>
      <c r="E51" s="112">
        <v>1995.33</v>
      </c>
      <c r="F51" s="117">
        <f>E51*C51</f>
        <v>1795.797</v>
      </c>
      <c r="G51" s="206">
        <v>398</v>
      </c>
      <c r="H51" s="112">
        <f>G51*C51</f>
        <v>358.2</v>
      </c>
      <c r="I51" s="112">
        <f t="shared" si="9"/>
        <v>2153.9969999999998</v>
      </c>
      <c r="J51" s="140"/>
    </row>
    <row r="52" spans="1:11" ht="20.25" x14ac:dyDescent="0.3">
      <c r="A52" s="114">
        <v>8.4</v>
      </c>
      <c r="B52" s="115" t="s">
        <v>159</v>
      </c>
      <c r="C52" s="112">
        <v>9</v>
      </c>
      <c r="D52" s="114" t="s">
        <v>37</v>
      </c>
      <c r="E52" s="112">
        <v>2028.04</v>
      </c>
      <c r="F52" s="117">
        <f>E52*C52</f>
        <v>18252.36</v>
      </c>
      <c r="G52" s="206">
        <v>436</v>
      </c>
      <c r="H52" s="112">
        <f>G52*C52</f>
        <v>3924</v>
      </c>
      <c r="I52" s="112">
        <f t="shared" si="9"/>
        <v>22176.36</v>
      </c>
      <c r="J52" s="140"/>
    </row>
    <row r="53" spans="1:11" ht="20.25" x14ac:dyDescent="0.3">
      <c r="A53" s="114">
        <v>8.5</v>
      </c>
      <c r="B53" s="115" t="s">
        <v>46</v>
      </c>
      <c r="C53" s="112">
        <v>10</v>
      </c>
      <c r="D53" s="114" t="s">
        <v>47</v>
      </c>
      <c r="E53" s="112">
        <v>490</v>
      </c>
      <c r="F53" s="117">
        <f>E53*C53</f>
        <v>4900</v>
      </c>
      <c r="G53" s="206">
        <v>133</v>
      </c>
      <c r="H53" s="112">
        <f>G53*C53</f>
        <v>1330</v>
      </c>
      <c r="I53" s="112">
        <f t="shared" si="9"/>
        <v>6230</v>
      </c>
      <c r="J53" s="140"/>
    </row>
    <row r="54" spans="1:11" ht="20.25" x14ac:dyDescent="0.3">
      <c r="A54" s="114">
        <v>8.6</v>
      </c>
      <c r="B54" s="115" t="s">
        <v>48</v>
      </c>
      <c r="C54" s="112"/>
      <c r="D54" s="114"/>
      <c r="E54" s="112"/>
      <c r="F54" s="128"/>
      <c r="G54" s="111"/>
      <c r="H54" s="112"/>
      <c r="I54" s="112"/>
      <c r="J54" s="140"/>
    </row>
    <row r="55" spans="1:11" ht="20.25" x14ac:dyDescent="0.3">
      <c r="A55" s="114"/>
      <c r="B55" s="115" t="s">
        <v>49</v>
      </c>
      <c r="C55" s="112">
        <v>4</v>
      </c>
      <c r="D55" s="114" t="s">
        <v>35</v>
      </c>
      <c r="E55" s="112">
        <f>8.88*22.87</f>
        <v>203.08560000000003</v>
      </c>
      <c r="F55" s="117">
        <f>E55*C55</f>
        <v>812.34240000000011</v>
      </c>
      <c r="G55" s="111">
        <v>29.3</v>
      </c>
      <c r="H55" s="112">
        <f>G55*C55</f>
        <v>117.2</v>
      </c>
      <c r="I55" s="112">
        <f t="shared" si="9"/>
        <v>929.54240000000016</v>
      </c>
      <c r="J55" s="140"/>
    </row>
    <row r="56" spans="1:11" ht="20.25" x14ac:dyDescent="0.3">
      <c r="A56" s="114"/>
      <c r="B56" s="115" t="s">
        <v>50</v>
      </c>
      <c r="C56" s="112">
        <v>17</v>
      </c>
      <c r="D56" s="114" t="s">
        <v>35</v>
      </c>
      <c r="E56" s="112">
        <f>13.87*24.26</f>
        <v>336.4862</v>
      </c>
      <c r="F56" s="117">
        <f>E56*C56</f>
        <v>5720.2654000000002</v>
      </c>
      <c r="G56" s="111">
        <v>35.869999999999997</v>
      </c>
      <c r="H56" s="112">
        <f>G56*C56</f>
        <v>609.79</v>
      </c>
      <c r="I56" s="112">
        <f t="shared" si="9"/>
        <v>6330.0554000000002</v>
      </c>
      <c r="J56" s="140"/>
    </row>
    <row r="57" spans="1:11" ht="20.25" x14ac:dyDescent="0.3">
      <c r="A57" s="114"/>
      <c r="B57" s="115" t="s">
        <v>51</v>
      </c>
      <c r="C57" s="112">
        <v>12</v>
      </c>
      <c r="D57" s="114" t="s">
        <v>41</v>
      </c>
      <c r="E57" s="112">
        <v>44.63</v>
      </c>
      <c r="F57" s="117">
        <f>E57*C57</f>
        <v>535.56000000000006</v>
      </c>
      <c r="G57" s="111">
        <v>0</v>
      </c>
      <c r="H57" s="112">
        <f>G57*C57</f>
        <v>0</v>
      </c>
      <c r="I57" s="112">
        <f t="shared" si="9"/>
        <v>535.56000000000006</v>
      </c>
      <c r="J57" s="140"/>
    </row>
    <row r="58" spans="1:11" ht="20.25" x14ac:dyDescent="0.3">
      <c r="A58" s="114">
        <v>8.6999999999999993</v>
      </c>
      <c r="B58" s="115" t="s">
        <v>164</v>
      </c>
      <c r="C58" s="112">
        <v>9</v>
      </c>
      <c r="D58" s="114" t="s">
        <v>52</v>
      </c>
      <c r="E58" s="112">
        <v>953.27</v>
      </c>
      <c r="F58" s="117">
        <f>E58*C58</f>
        <v>8579.43</v>
      </c>
      <c r="G58" s="111">
        <v>588.4</v>
      </c>
      <c r="H58" s="112">
        <f>G58*C58</f>
        <v>5295.5999999999995</v>
      </c>
      <c r="I58" s="112">
        <f t="shared" si="9"/>
        <v>13875.029999999999</v>
      </c>
      <c r="J58" s="140" t="s">
        <v>208</v>
      </c>
    </row>
    <row r="59" spans="1:11" ht="20.25" x14ac:dyDescent="0.3">
      <c r="A59" s="210">
        <v>8.8000000000000007</v>
      </c>
      <c r="B59" s="211" t="s">
        <v>53</v>
      </c>
      <c r="C59" s="112">
        <v>12</v>
      </c>
      <c r="D59" s="210" t="s">
        <v>54</v>
      </c>
      <c r="E59" s="132">
        <v>150</v>
      </c>
      <c r="F59" s="132">
        <f>E59*C59</f>
        <v>1800</v>
      </c>
      <c r="G59" s="133">
        <v>50</v>
      </c>
      <c r="H59" s="112">
        <f>G59*C59</f>
        <v>600</v>
      </c>
      <c r="I59" s="112">
        <f t="shared" si="9"/>
        <v>2400</v>
      </c>
      <c r="J59" s="146"/>
    </row>
    <row r="60" spans="1:11" ht="20.25" x14ac:dyDescent="0.3">
      <c r="A60" s="119" t="s">
        <v>79</v>
      </c>
      <c r="B60" s="202"/>
      <c r="C60" s="177"/>
      <c r="D60" s="178"/>
      <c r="E60" s="122"/>
      <c r="F60" s="212">
        <f>SUM(F49:F59)</f>
        <v>43873.423699999999</v>
      </c>
      <c r="G60" s="124"/>
      <c r="H60" s="125">
        <f>SUM(H49:H59)</f>
        <v>15437.099999999999</v>
      </c>
      <c r="I60" s="125">
        <f>SUM(I49:I59)</f>
        <v>59310.523699999991</v>
      </c>
      <c r="J60" s="213"/>
    </row>
    <row r="61" spans="1:11" ht="20.25" x14ac:dyDescent="0.3">
      <c r="A61" s="136">
        <v>9</v>
      </c>
      <c r="B61" s="214" t="s">
        <v>104</v>
      </c>
      <c r="C61" s="112"/>
      <c r="D61" s="114"/>
      <c r="E61" s="112"/>
      <c r="F61" s="128"/>
      <c r="G61" s="111"/>
      <c r="H61" s="112"/>
      <c r="I61" s="112"/>
      <c r="J61" s="140"/>
    </row>
    <row r="62" spans="1:11" ht="20.25" x14ac:dyDescent="0.3">
      <c r="A62" s="114">
        <v>9.1</v>
      </c>
      <c r="B62" s="140" t="s">
        <v>73</v>
      </c>
      <c r="C62" s="112">
        <v>1</v>
      </c>
      <c r="D62" s="114" t="s">
        <v>27</v>
      </c>
      <c r="E62" s="112">
        <v>150000</v>
      </c>
      <c r="F62" s="117">
        <f>E62*C62</f>
        <v>150000</v>
      </c>
      <c r="G62" s="111">
        <v>10000</v>
      </c>
      <c r="H62" s="112">
        <f>G62*C62</f>
        <v>10000</v>
      </c>
      <c r="I62" s="112">
        <f>F62+H62</f>
        <v>160000</v>
      </c>
      <c r="J62" s="140"/>
      <c r="K62" s="215"/>
    </row>
    <row r="63" spans="1:11" ht="20.25" x14ac:dyDescent="0.3">
      <c r="A63" s="159">
        <v>9.1999999999999993</v>
      </c>
      <c r="B63" s="141" t="s">
        <v>138</v>
      </c>
      <c r="C63" s="112">
        <v>1</v>
      </c>
      <c r="D63" s="216" t="s">
        <v>31</v>
      </c>
      <c r="E63" s="112">
        <v>5000</v>
      </c>
      <c r="F63" s="117">
        <f>E63*C63</f>
        <v>5000</v>
      </c>
      <c r="G63" s="111">
        <v>0</v>
      </c>
      <c r="H63" s="112">
        <f>G63*C63</f>
        <v>0</v>
      </c>
      <c r="I63" s="112">
        <f>F63+H63</f>
        <v>5000</v>
      </c>
      <c r="J63" s="140"/>
    </row>
    <row r="64" spans="1:11" ht="20.25" x14ac:dyDescent="0.3">
      <c r="A64" s="119" t="s">
        <v>98</v>
      </c>
      <c r="B64" s="120"/>
      <c r="C64" s="121"/>
      <c r="D64" s="177"/>
      <c r="E64" s="121"/>
      <c r="F64" s="123">
        <f>SUM(F62:F63)</f>
        <v>155000</v>
      </c>
      <c r="G64" s="124"/>
      <c r="H64" s="125">
        <f>SUM(H62:H63)</f>
        <v>10000</v>
      </c>
      <c r="I64" s="125">
        <f>+H64+F64</f>
        <v>165000</v>
      </c>
      <c r="J64" s="217"/>
    </row>
    <row r="65" spans="1:10" ht="20.25" x14ac:dyDescent="0.3">
      <c r="A65" s="136">
        <v>10</v>
      </c>
      <c r="B65" s="218" t="s">
        <v>58</v>
      </c>
      <c r="C65" s="136"/>
      <c r="D65" s="219"/>
      <c r="E65" s="136"/>
      <c r="F65" s="154"/>
      <c r="G65" s="194"/>
      <c r="H65" s="154"/>
      <c r="I65" s="154"/>
      <c r="J65" s="140"/>
    </row>
    <row r="66" spans="1:10" ht="20.25" x14ac:dyDescent="0.3">
      <c r="A66" s="114">
        <v>10.1</v>
      </c>
      <c r="B66" s="220" t="s">
        <v>172</v>
      </c>
      <c r="C66" s="117">
        <v>1</v>
      </c>
      <c r="D66" s="216" t="s">
        <v>31</v>
      </c>
      <c r="E66" s="117">
        <v>3000</v>
      </c>
      <c r="F66" s="112">
        <f>E66*C66</f>
        <v>3000</v>
      </c>
      <c r="G66" s="111">
        <v>0</v>
      </c>
      <c r="H66" s="112">
        <f>G66*C66</f>
        <v>0</v>
      </c>
      <c r="I66" s="112">
        <f>H66+F66</f>
        <v>3000</v>
      </c>
      <c r="J66" s="140"/>
    </row>
    <row r="67" spans="1:10" ht="20.25" x14ac:dyDescent="0.3">
      <c r="A67" s="114">
        <v>10.199999999999999</v>
      </c>
      <c r="B67" s="220" t="s">
        <v>59</v>
      </c>
      <c r="C67" s="117">
        <v>1</v>
      </c>
      <c r="D67" s="216" t="s">
        <v>27</v>
      </c>
      <c r="E67" s="117">
        <v>1000</v>
      </c>
      <c r="F67" s="112">
        <f>E67*C67</f>
        <v>1000</v>
      </c>
      <c r="G67" s="111">
        <v>0</v>
      </c>
      <c r="H67" s="112">
        <f>G67*C67</f>
        <v>0</v>
      </c>
      <c r="I67" s="112">
        <f>H67+F67</f>
        <v>1000</v>
      </c>
      <c r="J67" s="140"/>
    </row>
    <row r="68" spans="1:10" ht="20.25" x14ac:dyDescent="0.3">
      <c r="A68" s="119" t="s">
        <v>107</v>
      </c>
      <c r="B68" s="120"/>
      <c r="C68" s="121"/>
      <c r="D68" s="177"/>
      <c r="E68" s="121"/>
      <c r="F68" s="125">
        <f>SUM(F66:F67)</f>
        <v>4000</v>
      </c>
      <c r="G68" s="124"/>
      <c r="H68" s="125">
        <f>SUM(H66:H67)</f>
        <v>0</v>
      </c>
      <c r="I68" s="125">
        <f>SUM(I66:I67)</f>
        <v>4000</v>
      </c>
      <c r="J68" s="217"/>
    </row>
    <row r="69" spans="1:10" ht="20.25" x14ac:dyDescent="0.3">
      <c r="A69" s="221" t="s">
        <v>80</v>
      </c>
      <c r="B69" s="222"/>
      <c r="C69" s="222"/>
      <c r="D69" s="222"/>
      <c r="E69" s="223"/>
      <c r="F69" s="224">
        <f>SUM(F68,F64,F60,F47,F42,F34,F31,F25,F17,F11)</f>
        <v>248725.59849999999</v>
      </c>
      <c r="G69" s="225"/>
      <c r="H69" s="226">
        <f>SUM(H68,H64,H60,H47,H42,H34,H31,H25,H17,H11)</f>
        <v>40407.017999999996</v>
      </c>
      <c r="I69" s="226">
        <f>+H69+F69</f>
        <v>289132.6165</v>
      </c>
      <c r="J69" s="227"/>
    </row>
    <row r="70" spans="1:10" ht="23.25" x14ac:dyDescent="0.35">
      <c r="A70" s="228" t="s">
        <v>135</v>
      </c>
      <c r="B70" s="228"/>
      <c r="C70" s="228"/>
      <c r="D70" s="228"/>
      <c r="E70" s="228"/>
      <c r="F70" s="228"/>
      <c r="G70" s="229">
        <v>1</v>
      </c>
      <c r="H70" s="229" t="s">
        <v>133</v>
      </c>
      <c r="I70" s="230">
        <f>+I69</f>
        <v>289132.6165</v>
      </c>
      <c r="J70" s="231"/>
    </row>
    <row r="71" spans="1:10" ht="23.25" x14ac:dyDescent="0.35">
      <c r="A71" s="228" t="s">
        <v>134</v>
      </c>
      <c r="B71" s="228"/>
      <c r="C71" s="228"/>
      <c r="D71" s="228"/>
      <c r="E71" s="228"/>
      <c r="F71" s="228"/>
      <c r="G71" s="229">
        <v>3</v>
      </c>
      <c r="H71" s="229" t="s">
        <v>133</v>
      </c>
      <c r="I71" s="232">
        <f>+I70*G71</f>
        <v>867397.84950000001</v>
      </c>
      <c r="J71" s="231"/>
    </row>
    <row r="72" spans="1:10" ht="20.25" x14ac:dyDescent="0.3">
      <c r="A72" s="233" t="s">
        <v>173</v>
      </c>
      <c r="B72" s="233" t="s">
        <v>174</v>
      </c>
    </row>
    <row r="73" spans="1:10" ht="20.25" x14ac:dyDescent="0.3">
      <c r="A73" s="48"/>
      <c r="B73" s="233" t="s">
        <v>175</v>
      </c>
    </row>
  </sheetData>
  <mergeCells count="21">
    <mergeCell ref="A31:B31"/>
    <mergeCell ref="A68:B68"/>
    <mergeCell ref="A69:E69"/>
    <mergeCell ref="A47:B47"/>
    <mergeCell ref="A42:B42"/>
    <mergeCell ref="A70:F70"/>
    <mergeCell ref="A71:F71"/>
    <mergeCell ref="A1:J1"/>
    <mergeCell ref="A7:A8"/>
    <mergeCell ref="B7:B8"/>
    <mergeCell ref="C7:C8"/>
    <mergeCell ref="D7:D8"/>
    <mergeCell ref="E7:F7"/>
    <mergeCell ref="G7:H7"/>
    <mergeCell ref="J7:J8"/>
    <mergeCell ref="A11:B11"/>
    <mergeCell ref="A17:B17"/>
    <mergeCell ref="A34:B34"/>
    <mergeCell ref="A60:B60"/>
    <mergeCell ref="A64:B64"/>
    <mergeCell ref="A25:B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"/>
  <sheetViews>
    <sheetView view="pageBreakPreview" zoomScale="85" zoomScaleNormal="85" zoomScaleSheetLayoutView="85" workbookViewId="0">
      <selection sqref="A1:XFD1048576"/>
    </sheetView>
  </sheetViews>
  <sheetFormatPr defaultRowHeight="15" x14ac:dyDescent="0.25"/>
  <cols>
    <col min="1" max="1" width="9.125" style="2" customWidth="1"/>
    <col min="2" max="2" width="48.625" style="2" customWidth="1"/>
    <col min="3" max="4" width="9" style="2"/>
    <col min="5" max="5" width="14.375" style="2" bestFit="1" customWidth="1"/>
    <col min="6" max="6" width="13.375" style="2" bestFit="1" customWidth="1"/>
    <col min="7" max="7" width="12.375" style="2" bestFit="1" customWidth="1"/>
    <col min="8" max="8" width="11.375" style="2" customWidth="1"/>
    <col min="9" max="9" width="16.5" style="2" bestFit="1" customWidth="1"/>
    <col min="10" max="10" width="13.875" style="2" bestFit="1" customWidth="1"/>
    <col min="11" max="16384" width="9" style="2"/>
  </cols>
  <sheetData>
    <row r="1" spans="1:10" ht="23.25" x14ac:dyDescent="0.35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x14ac:dyDescent="0.3">
      <c r="A2" s="5" t="s">
        <v>190</v>
      </c>
      <c r="B2" s="5"/>
      <c r="C2" s="234"/>
      <c r="D2" s="5"/>
      <c r="E2" s="5"/>
      <c r="F2" s="5"/>
      <c r="G2" s="5"/>
      <c r="H2" s="5"/>
      <c r="I2" s="5"/>
      <c r="J2" s="235"/>
    </row>
    <row r="3" spans="1:10" ht="20.25" x14ac:dyDescent="0.3">
      <c r="A3" s="5" t="s">
        <v>170</v>
      </c>
      <c r="B3" s="5"/>
      <c r="C3" s="234"/>
      <c r="D3" s="5"/>
      <c r="F3" s="5" t="s">
        <v>202</v>
      </c>
      <c r="G3" s="5"/>
      <c r="H3" s="5"/>
      <c r="I3" s="5" t="s">
        <v>4</v>
      </c>
      <c r="J3" s="5"/>
    </row>
    <row r="4" spans="1:10" ht="20.25" x14ac:dyDescent="0.3">
      <c r="A4" s="5" t="s">
        <v>191</v>
      </c>
      <c r="B4" s="5"/>
      <c r="C4" s="234"/>
      <c r="D4" s="5"/>
      <c r="F4" s="5" t="s">
        <v>169</v>
      </c>
      <c r="G4" s="5"/>
      <c r="H4" s="5"/>
      <c r="I4" s="5" t="s">
        <v>7</v>
      </c>
      <c r="J4" s="5"/>
    </row>
    <row r="5" spans="1:10" ht="20.25" x14ac:dyDescent="0.3">
      <c r="A5" s="5" t="s">
        <v>204</v>
      </c>
      <c r="B5" s="5"/>
      <c r="C5" s="5"/>
      <c r="D5" s="5"/>
      <c r="F5" s="5" t="s">
        <v>206</v>
      </c>
      <c r="G5" s="5"/>
      <c r="H5" s="5"/>
      <c r="I5" s="5"/>
      <c r="J5" s="5"/>
    </row>
    <row r="6" spans="1:10" ht="20.25" x14ac:dyDescent="0.3">
      <c r="A6" s="91"/>
      <c r="B6" s="91"/>
      <c r="C6" s="236"/>
      <c r="D6" s="91"/>
      <c r="E6" s="91"/>
      <c r="F6" s="91"/>
      <c r="G6" s="91"/>
      <c r="H6" s="91"/>
      <c r="I6" s="91"/>
      <c r="J6" s="93" t="s">
        <v>81</v>
      </c>
    </row>
    <row r="7" spans="1:10" ht="20.25" x14ac:dyDescent="0.3">
      <c r="A7" s="237" t="s">
        <v>12</v>
      </c>
      <c r="B7" s="94" t="s">
        <v>13</v>
      </c>
      <c r="C7" s="238" t="s">
        <v>14</v>
      </c>
      <c r="D7" s="94" t="s">
        <v>15</v>
      </c>
      <c r="E7" s="95" t="s">
        <v>188</v>
      </c>
      <c r="F7" s="96"/>
      <c r="G7" s="97" t="s">
        <v>17</v>
      </c>
      <c r="H7" s="96"/>
      <c r="I7" s="98" t="s">
        <v>63</v>
      </c>
      <c r="J7" s="99" t="s">
        <v>19</v>
      </c>
    </row>
    <row r="8" spans="1:10" ht="20.25" x14ac:dyDescent="0.3">
      <c r="A8" s="239"/>
      <c r="B8" s="100"/>
      <c r="C8" s="240"/>
      <c r="D8" s="100"/>
      <c r="E8" s="101" t="s">
        <v>20</v>
      </c>
      <c r="F8" s="101" t="s">
        <v>21</v>
      </c>
      <c r="G8" s="102" t="s">
        <v>20</v>
      </c>
      <c r="H8" s="101" t="s">
        <v>21</v>
      </c>
      <c r="I8" s="103" t="s">
        <v>18</v>
      </c>
      <c r="J8" s="104"/>
    </row>
    <row r="9" spans="1:10" ht="20.25" x14ac:dyDescent="0.25">
      <c r="A9" s="241">
        <v>1</v>
      </c>
      <c r="B9" s="242" t="s">
        <v>96</v>
      </c>
      <c r="C9" s="243"/>
      <c r="D9" s="244"/>
      <c r="E9" s="244"/>
      <c r="F9" s="244"/>
      <c r="G9" s="244"/>
      <c r="H9" s="244"/>
      <c r="I9" s="244"/>
      <c r="J9" s="245"/>
    </row>
    <row r="10" spans="1:10" ht="20.25" x14ac:dyDescent="0.25">
      <c r="A10" s="131">
        <v>1.1000000000000001</v>
      </c>
      <c r="B10" s="246" t="s">
        <v>165</v>
      </c>
      <c r="C10" s="116">
        <v>2500</v>
      </c>
      <c r="D10" s="131" t="s">
        <v>166</v>
      </c>
      <c r="E10" s="146">
        <v>26</v>
      </c>
      <c r="F10" s="146">
        <f>E10*C10</f>
        <v>65000</v>
      </c>
      <c r="G10" s="146">
        <v>0</v>
      </c>
      <c r="H10" s="146">
        <f>G10*C10</f>
        <v>0</v>
      </c>
      <c r="I10" s="146">
        <f>H10+F10</f>
        <v>65000</v>
      </c>
      <c r="J10" s="146"/>
    </row>
    <row r="11" spans="1:10" ht="20.25" x14ac:dyDescent="0.25">
      <c r="A11" s="247">
        <v>1.2</v>
      </c>
      <c r="B11" s="246" t="s">
        <v>167</v>
      </c>
      <c r="C11" s="116">
        <v>1</v>
      </c>
      <c r="D11" s="131" t="s">
        <v>62</v>
      </c>
      <c r="E11" s="146">
        <v>70000</v>
      </c>
      <c r="F11" s="146">
        <f>E11*C11</f>
        <v>70000</v>
      </c>
      <c r="G11" s="146">
        <v>0</v>
      </c>
      <c r="H11" s="146">
        <f>G11*C11</f>
        <v>0</v>
      </c>
      <c r="I11" s="146">
        <f>H11+F11</f>
        <v>70000</v>
      </c>
      <c r="J11" s="146"/>
    </row>
    <row r="12" spans="1:10" ht="20.25" x14ac:dyDescent="0.25">
      <c r="A12" s="248"/>
      <c r="B12" s="249" t="s">
        <v>63</v>
      </c>
      <c r="C12" s="250"/>
      <c r="D12" s="249"/>
      <c r="E12" s="250"/>
      <c r="F12" s="251">
        <f>SUM(F10:F11)</f>
        <v>135000</v>
      </c>
      <c r="G12" s="250"/>
      <c r="H12" s="252"/>
      <c r="I12" s="253">
        <f>SUM(I10:I11)</f>
        <v>135000</v>
      </c>
      <c r="J12" s="254"/>
    </row>
    <row r="13" spans="1:10" ht="20.25" x14ac:dyDescent="0.3">
      <c r="A13" s="255" t="s">
        <v>135</v>
      </c>
      <c r="B13" s="255"/>
      <c r="C13" s="255"/>
      <c r="D13" s="255"/>
      <c r="E13" s="255"/>
      <c r="F13" s="255"/>
      <c r="G13" s="256">
        <v>1</v>
      </c>
      <c r="H13" s="256" t="s">
        <v>133</v>
      </c>
      <c r="I13" s="257">
        <f>+I12</f>
        <v>135000</v>
      </c>
      <c r="J13" s="258"/>
    </row>
    <row r="14" spans="1:10" ht="20.25" x14ac:dyDescent="0.3">
      <c r="A14" s="255" t="s">
        <v>134</v>
      </c>
      <c r="B14" s="255"/>
      <c r="C14" s="255"/>
      <c r="D14" s="255"/>
      <c r="E14" s="255"/>
      <c r="F14" s="255"/>
      <c r="G14" s="256">
        <v>3</v>
      </c>
      <c r="H14" s="256" t="s">
        <v>133</v>
      </c>
      <c r="I14" s="259">
        <f>+I13*G14</f>
        <v>405000</v>
      </c>
      <c r="J14" s="258"/>
    </row>
  </sheetData>
  <mergeCells count="10">
    <mergeCell ref="A13:F13"/>
    <mergeCell ref="A14:F14"/>
    <mergeCell ref="J7:J8"/>
    <mergeCell ref="A1:J1"/>
    <mergeCell ref="A7:A8"/>
    <mergeCell ref="B7:B8"/>
    <mergeCell ref="C7:C8"/>
    <mergeCell ref="D7:D8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1"/>
  <sheetViews>
    <sheetView showGridLines="0" topLeftCell="A17" zoomScale="85" zoomScaleNormal="85" zoomScaleSheetLayoutView="85" workbookViewId="0">
      <selection activeCell="E21" sqref="E21"/>
    </sheetView>
  </sheetViews>
  <sheetFormatPr defaultRowHeight="15" x14ac:dyDescent="0.25"/>
  <cols>
    <col min="1" max="1" width="9.125" style="2" bestFit="1" customWidth="1"/>
    <col min="2" max="2" width="50.75" style="2" customWidth="1"/>
    <col min="3" max="4" width="9" style="2"/>
    <col min="5" max="5" width="14" style="2" bestFit="1" customWidth="1"/>
    <col min="6" max="6" width="13" style="2" customWidth="1"/>
    <col min="7" max="7" width="12.25" style="2" bestFit="1" customWidth="1"/>
    <col min="8" max="8" width="13.5" style="2" customWidth="1"/>
    <col min="9" max="9" width="16.375" style="2" bestFit="1" customWidth="1"/>
    <col min="10" max="10" width="43.625" style="2" customWidth="1"/>
    <col min="11" max="16384" width="9" style="2"/>
  </cols>
  <sheetData>
    <row r="1" spans="1:10" ht="23.25" x14ac:dyDescent="0.35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x14ac:dyDescent="0.3">
      <c r="A2" s="5" t="s">
        <v>192</v>
      </c>
      <c r="B2" s="5"/>
      <c r="C2" s="5"/>
      <c r="D2" s="5"/>
      <c r="E2" s="5"/>
      <c r="F2" s="5"/>
      <c r="G2" s="5"/>
      <c r="H2" s="5"/>
      <c r="I2" s="5"/>
      <c r="J2" s="89"/>
    </row>
    <row r="3" spans="1:10" ht="20.25" x14ac:dyDescent="0.3">
      <c r="A3" s="5" t="s">
        <v>171</v>
      </c>
      <c r="B3" s="5"/>
      <c r="C3" s="5"/>
      <c r="D3" s="5"/>
      <c r="F3" s="5" t="s">
        <v>203</v>
      </c>
      <c r="G3" s="5"/>
      <c r="H3" s="5"/>
      <c r="I3" s="5" t="s">
        <v>4</v>
      </c>
      <c r="J3" s="5"/>
    </row>
    <row r="4" spans="1:10" ht="20.25" x14ac:dyDescent="0.3">
      <c r="A4" s="5" t="s">
        <v>191</v>
      </c>
      <c r="B4" s="5"/>
      <c r="C4" s="5"/>
      <c r="D4" s="5"/>
      <c r="F4" s="5" t="s">
        <v>169</v>
      </c>
      <c r="G4" s="5"/>
      <c r="H4" s="5"/>
      <c r="I4" s="5" t="s">
        <v>7</v>
      </c>
      <c r="J4" s="5"/>
    </row>
    <row r="5" spans="1:10" ht="20.25" x14ac:dyDescent="0.3">
      <c r="A5" s="5" t="s">
        <v>204</v>
      </c>
      <c r="B5" s="5"/>
      <c r="C5" s="5"/>
      <c r="D5" s="5"/>
      <c r="F5" s="5" t="s">
        <v>206</v>
      </c>
      <c r="G5" s="5"/>
      <c r="H5" s="5"/>
      <c r="I5" s="5"/>
      <c r="J5" s="5"/>
    </row>
    <row r="6" spans="1:10" ht="20.25" x14ac:dyDescent="0.3">
      <c r="A6" s="91"/>
      <c r="B6" s="91"/>
      <c r="C6" s="92"/>
      <c r="D6" s="91"/>
      <c r="E6" s="91"/>
      <c r="F6" s="91"/>
      <c r="G6" s="91"/>
      <c r="H6" s="91"/>
      <c r="I6" s="91"/>
      <c r="J6" s="93" t="s">
        <v>81</v>
      </c>
    </row>
    <row r="7" spans="1:10" ht="20.25" x14ac:dyDescent="0.3">
      <c r="A7" s="260" t="s">
        <v>12</v>
      </c>
      <c r="B7" s="260" t="s">
        <v>13</v>
      </c>
      <c r="C7" s="260" t="s">
        <v>14</v>
      </c>
      <c r="D7" s="260" t="s">
        <v>15</v>
      </c>
      <c r="E7" s="95" t="s">
        <v>188</v>
      </c>
      <c r="F7" s="96"/>
      <c r="G7" s="97" t="s">
        <v>17</v>
      </c>
      <c r="H7" s="96"/>
      <c r="I7" s="98" t="s">
        <v>63</v>
      </c>
      <c r="J7" s="99" t="s">
        <v>19</v>
      </c>
    </row>
    <row r="8" spans="1:10" ht="20.25" x14ac:dyDescent="0.3">
      <c r="A8" s="261"/>
      <c r="B8" s="261"/>
      <c r="C8" s="261"/>
      <c r="D8" s="261"/>
      <c r="E8" s="101" t="s">
        <v>20</v>
      </c>
      <c r="F8" s="101" t="s">
        <v>21</v>
      </c>
      <c r="G8" s="102" t="s">
        <v>20</v>
      </c>
      <c r="H8" s="101" t="s">
        <v>21</v>
      </c>
      <c r="I8" s="103" t="s">
        <v>18</v>
      </c>
      <c r="J8" s="104"/>
    </row>
    <row r="9" spans="1:10" ht="20.25" x14ac:dyDescent="0.3">
      <c r="A9" s="262">
        <v>1</v>
      </c>
      <c r="B9" s="263" t="s">
        <v>22</v>
      </c>
      <c r="C9" s="264"/>
      <c r="D9" s="265"/>
      <c r="E9" s="266"/>
      <c r="F9" s="267"/>
      <c r="G9" s="268"/>
      <c r="H9" s="269"/>
      <c r="I9" s="269"/>
      <c r="J9" s="270"/>
    </row>
    <row r="10" spans="1:10" ht="20.25" x14ac:dyDescent="0.3">
      <c r="A10" s="271">
        <v>1.1000000000000001</v>
      </c>
      <c r="B10" s="272" t="s">
        <v>23</v>
      </c>
      <c r="C10" s="273">
        <v>1</v>
      </c>
      <c r="D10" s="271" t="s">
        <v>24</v>
      </c>
      <c r="E10" s="274">
        <v>0</v>
      </c>
      <c r="F10" s="274">
        <f>E10*C10</f>
        <v>0</v>
      </c>
      <c r="G10" s="275">
        <v>1000</v>
      </c>
      <c r="H10" s="274">
        <f>G10*C10</f>
        <v>1000</v>
      </c>
      <c r="I10" s="269">
        <f>H10+F10</f>
        <v>1000</v>
      </c>
      <c r="J10" s="270"/>
    </row>
    <row r="11" spans="1:10" ht="20.25" x14ac:dyDescent="0.3">
      <c r="A11" s="119" t="s">
        <v>25</v>
      </c>
      <c r="B11" s="120"/>
      <c r="C11" s="121"/>
      <c r="D11" s="121"/>
      <c r="E11" s="122"/>
      <c r="F11" s="123"/>
      <c r="G11" s="124"/>
      <c r="H11" s="276">
        <f>SUM(H10)</f>
        <v>1000</v>
      </c>
      <c r="I11" s="125">
        <f>SUM(I10)</f>
        <v>1000</v>
      </c>
      <c r="J11" s="126"/>
    </row>
    <row r="12" spans="1:10" ht="20.25" x14ac:dyDescent="0.3">
      <c r="A12" s="105">
        <v>2</v>
      </c>
      <c r="B12" s="127" t="s">
        <v>61</v>
      </c>
      <c r="C12" s="107"/>
      <c r="D12" s="114"/>
      <c r="E12" s="128"/>
      <c r="F12" s="117"/>
      <c r="G12" s="111"/>
      <c r="H12" s="129"/>
      <c r="I12" s="112"/>
      <c r="J12" s="113"/>
    </row>
    <row r="13" spans="1:10" ht="20.25" x14ac:dyDescent="0.3">
      <c r="A13" s="114">
        <v>2.1</v>
      </c>
      <c r="B13" s="130" t="s">
        <v>30</v>
      </c>
      <c r="C13" s="116">
        <v>1</v>
      </c>
      <c r="D13" s="131" t="s">
        <v>64</v>
      </c>
      <c r="E13" s="132">
        <v>8600</v>
      </c>
      <c r="F13" s="132">
        <f t="shared" ref="F13:F16" si="0">E13*C13</f>
        <v>8600</v>
      </c>
      <c r="G13" s="133">
        <v>0</v>
      </c>
      <c r="H13" s="112">
        <f t="shared" ref="H13:H16" si="1">G13*C13</f>
        <v>0</v>
      </c>
      <c r="I13" s="112">
        <f t="shared" ref="I13:I16" si="2">H13+F13</f>
        <v>8600</v>
      </c>
      <c r="J13" s="113"/>
    </row>
    <row r="14" spans="1:10" ht="20.25" x14ac:dyDescent="0.3">
      <c r="A14" s="114">
        <v>2.2000000000000002</v>
      </c>
      <c r="B14" s="130" t="s">
        <v>67</v>
      </c>
      <c r="C14" s="116">
        <v>1</v>
      </c>
      <c r="D14" s="131" t="s">
        <v>65</v>
      </c>
      <c r="E14" s="132">
        <v>5000</v>
      </c>
      <c r="F14" s="132">
        <f t="shared" si="0"/>
        <v>5000</v>
      </c>
      <c r="G14" s="118">
        <v>0</v>
      </c>
      <c r="H14" s="112">
        <f t="shared" si="1"/>
        <v>0</v>
      </c>
      <c r="I14" s="112">
        <f t="shared" si="2"/>
        <v>5000</v>
      </c>
      <c r="J14" s="113"/>
    </row>
    <row r="15" spans="1:10" ht="20.25" x14ac:dyDescent="0.3">
      <c r="A15" s="114">
        <v>2.2999999999999998</v>
      </c>
      <c r="B15" s="135" t="s">
        <v>102</v>
      </c>
      <c r="C15" s="116">
        <v>50</v>
      </c>
      <c r="D15" s="131" t="s">
        <v>75</v>
      </c>
      <c r="E15" s="132">
        <v>95</v>
      </c>
      <c r="F15" s="132">
        <f t="shared" si="0"/>
        <v>4750</v>
      </c>
      <c r="G15" s="118">
        <v>0</v>
      </c>
      <c r="H15" s="112">
        <v>0</v>
      </c>
      <c r="I15" s="112">
        <f t="shared" si="2"/>
        <v>4750</v>
      </c>
      <c r="J15" s="277" t="s">
        <v>103</v>
      </c>
    </row>
    <row r="16" spans="1:10" ht="20.25" x14ac:dyDescent="0.3">
      <c r="A16" s="114">
        <v>2.4</v>
      </c>
      <c r="B16" s="135" t="s">
        <v>32</v>
      </c>
      <c r="C16" s="116">
        <v>1</v>
      </c>
      <c r="D16" s="131" t="s">
        <v>65</v>
      </c>
      <c r="E16" s="132">
        <v>0</v>
      </c>
      <c r="F16" s="132">
        <f t="shared" si="0"/>
        <v>0</v>
      </c>
      <c r="G16" s="118">
        <f>SUM(F13:F15)*0.2</f>
        <v>3670</v>
      </c>
      <c r="H16" s="112">
        <f t="shared" si="1"/>
        <v>3670</v>
      </c>
      <c r="I16" s="112">
        <f t="shared" si="2"/>
        <v>3670</v>
      </c>
      <c r="J16" s="277" t="s">
        <v>101</v>
      </c>
    </row>
    <row r="17" spans="1:10" ht="20.25" x14ac:dyDescent="0.3">
      <c r="A17" s="119" t="s">
        <v>33</v>
      </c>
      <c r="B17" s="120"/>
      <c r="C17" s="121"/>
      <c r="D17" s="121"/>
      <c r="E17" s="122"/>
      <c r="F17" s="123">
        <f>SUM(F13:F16)</f>
        <v>18350</v>
      </c>
      <c r="G17" s="124"/>
      <c r="H17" s="125">
        <f>SUM(H13:H16)</f>
        <v>3670</v>
      </c>
      <c r="I17" s="125">
        <f>+H17+F17</f>
        <v>22020</v>
      </c>
      <c r="J17" s="126"/>
    </row>
    <row r="18" spans="1:10" ht="20.25" x14ac:dyDescent="0.3">
      <c r="A18" s="136">
        <v>3</v>
      </c>
      <c r="B18" s="137" t="s">
        <v>34</v>
      </c>
      <c r="C18" s="138"/>
      <c r="D18" s="139"/>
      <c r="E18" s="140"/>
      <c r="F18" s="115"/>
      <c r="G18" s="141"/>
      <c r="H18" s="115"/>
      <c r="I18" s="115"/>
      <c r="J18" s="113"/>
    </row>
    <row r="19" spans="1:10" ht="20.25" x14ac:dyDescent="0.25">
      <c r="A19" s="131">
        <v>3.1</v>
      </c>
      <c r="B19" s="142" t="s">
        <v>68</v>
      </c>
      <c r="C19" s="143">
        <v>5</v>
      </c>
      <c r="D19" s="131" t="s">
        <v>35</v>
      </c>
      <c r="E19" s="144">
        <v>766.36</v>
      </c>
      <c r="F19" s="145">
        <f t="shared" ref="F19:F24" si="3">E19*C19</f>
        <v>3831.8</v>
      </c>
      <c r="G19" s="146">
        <v>207</v>
      </c>
      <c r="H19" s="107">
        <f t="shared" ref="H19:H24" si="4">G19*C19</f>
        <v>1035</v>
      </c>
      <c r="I19" s="146">
        <f t="shared" ref="I19:I24" si="5">H19+F19</f>
        <v>4866.8</v>
      </c>
      <c r="J19" s="146"/>
    </row>
    <row r="20" spans="1:10" ht="20.25" x14ac:dyDescent="0.25">
      <c r="A20" s="131">
        <v>3.2</v>
      </c>
      <c r="B20" s="142" t="s">
        <v>69</v>
      </c>
      <c r="C20" s="143">
        <v>8</v>
      </c>
      <c r="D20" s="131" t="s">
        <v>35</v>
      </c>
      <c r="E20" s="144">
        <v>689.72</v>
      </c>
      <c r="F20" s="145">
        <f t="shared" si="3"/>
        <v>5517.76</v>
      </c>
      <c r="G20" s="146">
        <v>179</v>
      </c>
      <c r="H20" s="107">
        <f t="shared" si="4"/>
        <v>1432</v>
      </c>
      <c r="I20" s="146">
        <f t="shared" si="5"/>
        <v>6949.76</v>
      </c>
      <c r="J20" s="146"/>
    </row>
    <row r="21" spans="1:10" ht="20.25" x14ac:dyDescent="0.25">
      <c r="A21" s="131">
        <v>3.3</v>
      </c>
      <c r="B21" s="142" t="s">
        <v>70</v>
      </c>
      <c r="C21" s="143">
        <v>4</v>
      </c>
      <c r="D21" s="131" t="s">
        <v>35</v>
      </c>
      <c r="E21" s="144">
        <v>150</v>
      </c>
      <c r="F21" s="145">
        <f t="shared" si="3"/>
        <v>600</v>
      </c>
      <c r="G21" s="146">
        <v>120</v>
      </c>
      <c r="H21" s="107">
        <f t="shared" si="4"/>
        <v>480</v>
      </c>
      <c r="I21" s="146">
        <f t="shared" si="5"/>
        <v>1080</v>
      </c>
      <c r="J21" s="146"/>
    </row>
    <row r="22" spans="1:10" ht="20.25" x14ac:dyDescent="0.25">
      <c r="A22" s="131">
        <v>3.4</v>
      </c>
      <c r="B22" s="142" t="s">
        <v>71</v>
      </c>
      <c r="C22" s="143">
        <v>16</v>
      </c>
      <c r="D22" s="131" t="s">
        <v>54</v>
      </c>
      <c r="E22" s="144">
        <v>25</v>
      </c>
      <c r="F22" s="145">
        <f t="shared" si="3"/>
        <v>400</v>
      </c>
      <c r="G22" s="146">
        <f>+E22*0.3</f>
        <v>7.5</v>
      </c>
      <c r="H22" s="107">
        <f t="shared" si="4"/>
        <v>120</v>
      </c>
      <c r="I22" s="146">
        <f t="shared" si="5"/>
        <v>520</v>
      </c>
      <c r="J22" s="146"/>
    </row>
    <row r="23" spans="1:10" ht="20.25" x14ac:dyDescent="0.25">
      <c r="A23" s="131">
        <v>3.5</v>
      </c>
      <c r="B23" s="142" t="s">
        <v>176</v>
      </c>
      <c r="C23" s="143">
        <v>1</v>
      </c>
      <c r="D23" s="131" t="s">
        <v>65</v>
      </c>
      <c r="E23" s="144">
        <f>SUM(F19:F22)*0.2</f>
        <v>2069.9120000000003</v>
      </c>
      <c r="F23" s="145">
        <f t="shared" si="3"/>
        <v>2069.9120000000003</v>
      </c>
      <c r="G23" s="145">
        <v>0</v>
      </c>
      <c r="H23" s="107">
        <f t="shared" si="4"/>
        <v>0</v>
      </c>
      <c r="I23" s="146">
        <f t="shared" si="5"/>
        <v>2069.9120000000003</v>
      </c>
      <c r="J23" s="146" t="s">
        <v>76</v>
      </c>
    </row>
    <row r="24" spans="1:10" ht="20.25" x14ac:dyDescent="0.25">
      <c r="A24" s="131">
        <v>3.6</v>
      </c>
      <c r="B24" s="142" t="s">
        <v>72</v>
      </c>
      <c r="C24" s="143">
        <v>4</v>
      </c>
      <c r="D24" s="131" t="s">
        <v>36</v>
      </c>
      <c r="E24" s="144">
        <v>360.25</v>
      </c>
      <c r="F24" s="145">
        <f t="shared" si="3"/>
        <v>1441</v>
      </c>
      <c r="G24" s="145">
        <f>E24*0.2</f>
        <v>72.05</v>
      </c>
      <c r="H24" s="107">
        <f t="shared" si="4"/>
        <v>288.2</v>
      </c>
      <c r="I24" s="146">
        <f t="shared" si="5"/>
        <v>1729.2</v>
      </c>
      <c r="J24" s="146"/>
    </row>
    <row r="25" spans="1:10" ht="20.25" x14ac:dyDescent="0.3">
      <c r="A25" s="176" t="s">
        <v>42</v>
      </c>
      <c r="B25" s="176"/>
      <c r="C25" s="177"/>
      <c r="D25" s="178"/>
      <c r="E25" s="122"/>
      <c r="F25" s="123">
        <f>SUM(F19:F24)</f>
        <v>13860.472000000002</v>
      </c>
      <c r="G25" s="124"/>
      <c r="H25" s="125">
        <f>SUM(H19:H24)</f>
        <v>3355.2</v>
      </c>
      <c r="I25" s="125">
        <f>+H25+F25</f>
        <v>17215.672000000002</v>
      </c>
      <c r="J25" s="126"/>
    </row>
    <row r="26" spans="1:10" ht="27" customHeight="1" x14ac:dyDescent="0.3">
      <c r="A26" s="136">
        <v>4</v>
      </c>
      <c r="B26" s="148" t="s">
        <v>105</v>
      </c>
      <c r="C26" s="149"/>
      <c r="D26" s="150"/>
      <c r="E26" s="151"/>
      <c r="F26" s="152"/>
      <c r="G26" s="153"/>
      <c r="H26" s="154"/>
      <c r="I26" s="154"/>
      <c r="J26" s="155"/>
    </row>
    <row r="27" spans="1:10" ht="20.25" x14ac:dyDescent="0.3">
      <c r="A27" s="131">
        <v>4.0999999999999996</v>
      </c>
      <c r="B27" s="140" t="s">
        <v>177</v>
      </c>
      <c r="C27" s="169">
        <v>0.9</v>
      </c>
      <c r="D27" s="114" t="s">
        <v>37</v>
      </c>
      <c r="E27" s="170">
        <v>1995.33</v>
      </c>
      <c r="F27" s="117">
        <f>E27*C27</f>
        <v>1795.797</v>
      </c>
      <c r="G27" s="111">
        <v>436</v>
      </c>
      <c r="H27" s="171">
        <f>G27*C27</f>
        <v>392.40000000000003</v>
      </c>
      <c r="I27" s="112">
        <f>H27+F27</f>
        <v>2188.1970000000001</v>
      </c>
      <c r="J27" s="277"/>
    </row>
    <row r="28" spans="1:10" ht="20.25" x14ac:dyDescent="0.3">
      <c r="A28" s="131">
        <v>4.2</v>
      </c>
      <c r="B28" s="166" t="s">
        <v>38</v>
      </c>
      <c r="C28" s="143"/>
      <c r="D28" s="114"/>
      <c r="E28" s="167"/>
      <c r="F28" s="117"/>
      <c r="G28" s="111"/>
      <c r="H28" s="129"/>
      <c r="I28" s="112"/>
      <c r="J28" s="113"/>
    </row>
    <row r="29" spans="1:10" ht="20.25" x14ac:dyDescent="0.3">
      <c r="A29" s="114"/>
      <c r="B29" s="168" t="s">
        <v>39</v>
      </c>
      <c r="C29" s="169">
        <v>6</v>
      </c>
      <c r="D29" s="114" t="s">
        <v>35</v>
      </c>
      <c r="E29" s="170">
        <f>2.22*24.51</f>
        <v>54.412200000000006</v>
      </c>
      <c r="F29" s="117">
        <f>E29*C29</f>
        <v>326.47320000000002</v>
      </c>
      <c r="G29" s="111">
        <v>4.0999999999999996</v>
      </c>
      <c r="H29" s="171">
        <f>G29*C29</f>
        <v>24.599999999999998</v>
      </c>
      <c r="I29" s="112">
        <f>H29+F29</f>
        <v>351.07320000000004</v>
      </c>
      <c r="J29" s="113"/>
    </row>
    <row r="30" spans="1:10" ht="20.25" x14ac:dyDescent="0.3">
      <c r="A30" s="159"/>
      <c r="B30" s="278" t="s">
        <v>40</v>
      </c>
      <c r="C30" s="158">
        <v>1</v>
      </c>
      <c r="D30" s="159" t="s">
        <v>41</v>
      </c>
      <c r="E30" s="160">
        <v>44.63</v>
      </c>
      <c r="F30" s="161">
        <f>E30*C30</f>
        <v>44.63</v>
      </c>
      <c r="G30" s="162">
        <v>0</v>
      </c>
      <c r="H30" s="164">
        <f>G30*C30</f>
        <v>0</v>
      </c>
      <c r="I30" s="164">
        <f>H30+F30</f>
        <v>44.63</v>
      </c>
      <c r="J30" s="209"/>
    </row>
    <row r="31" spans="1:10" ht="20.25" x14ac:dyDescent="0.3">
      <c r="A31" s="176" t="s">
        <v>55</v>
      </c>
      <c r="B31" s="176"/>
      <c r="C31" s="177"/>
      <c r="D31" s="178"/>
      <c r="E31" s="122"/>
      <c r="F31" s="123">
        <f>SUM(F27:F30)</f>
        <v>2166.9002</v>
      </c>
      <c r="G31" s="124"/>
      <c r="H31" s="276">
        <f>SUM(H27:H30)</f>
        <v>417.00000000000006</v>
      </c>
      <c r="I31" s="125">
        <f>+H31+F31</f>
        <v>2583.9002</v>
      </c>
      <c r="J31" s="126"/>
    </row>
    <row r="32" spans="1:10" ht="20.25" x14ac:dyDescent="0.3">
      <c r="A32" s="136">
        <v>5</v>
      </c>
      <c r="B32" s="173" t="s">
        <v>106</v>
      </c>
      <c r="C32" s="174"/>
      <c r="D32" s="175"/>
      <c r="E32" s="170"/>
      <c r="F32" s="117"/>
      <c r="G32" s="111"/>
      <c r="H32" s="112"/>
      <c r="I32" s="112"/>
      <c r="J32" s="113"/>
    </row>
    <row r="33" spans="1:10" ht="20.25" x14ac:dyDescent="0.3">
      <c r="A33" s="131">
        <v>5.0999999999999996</v>
      </c>
      <c r="B33" s="140" t="s">
        <v>177</v>
      </c>
      <c r="C33" s="169">
        <v>5.5</v>
      </c>
      <c r="D33" s="114" t="s">
        <v>37</v>
      </c>
      <c r="E33" s="170">
        <v>1995.33</v>
      </c>
      <c r="F33" s="117">
        <f>E33*C33</f>
        <v>10974.314999999999</v>
      </c>
      <c r="G33" s="111">
        <v>436</v>
      </c>
      <c r="H33" s="171">
        <f>G33*C33</f>
        <v>2398</v>
      </c>
      <c r="I33" s="112">
        <f>H33+F33</f>
        <v>13372.314999999999</v>
      </c>
      <c r="J33" s="113"/>
    </row>
    <row r="34" spans="1:10" ht="20.25" x14ac:dyDescent="0.3">
      <c r="A34" s="279">
        <v>5.2</v>
      </c>
      <c r="B34" s="168" t="s">
        <v>178</v>
      </c>
      <c r="C34" s="174">
        <v>55</v>
      </c>
      <c r="D34" s="114" t="s">
        <v>47</v>
      </c>
      <c r="E34" s="170">
        <v>53</v>
      </c>
      <c r="F34" s="117">
        <f>E34*C34</f>
        <v>2915</v>
      </c>
      <c r="G34" s="111">
        <v>5</v>
      </c>
      <c r="H34" s="112">
        <f>G34*C34</f>
        <v>275</v>
      </c>
      <c r="I34" s="112">
        <f>H34+F34</f>
        <v>3190</v>
      </c>
      <c r="J34" s="277"/>
    </row>
    <row r="35" spans="1:10" ht="20.25" x14ac:dyDescent="0.3">
      <c r="A35" s="280">
        <v>5.3</v>
      </c>
      <c r="B35" s="168" t="s">
        <v>118</v>
      </c>
      <c r="C35" s="174">
        <v>5.33</v>
      </c>
      <c r="D35" s="159" t="s">
        <v>47</v>
      </c>
      <c r="E35" s="170">
        <v>490</v>
      </c>
      <c r="F35" s="117">
        <f>E35*C35</f>
        <v>2611.6999999999998</v>
      </c>
      <c r="G35" s="111">
        <v>133</v>
      </c>
      <c r="H35" s="112">
        <f>G35*C35</f>
        <v>708.89</v>
      </c>
      <c r="I35" s="112">
        <f>H35+F35</f>
        <v>3320.5899999999997</v>
      </c>
      <c r="J35" s="277"/>
    </row>
    <row r="36" spans="1:10" ht="20.25" x14ac:dyDescent="0.3">
      <c r="A36" s="176" t="s">
        <v>56</v>
      </c>
      <c r="B36" s="176"/>
      <c r="C36" s="177"/>
      <c r="D36" s="281"/>
      <c r="E36" s="122"/>
      <c r="F36" s="123">
        <f>SUM(F33:F35)</f>
        <v>16501.014999999999</v>
      </c>
      <c r="G36" s="124"/>
      <c r="H36" s="276">
        <f>SUM(H33:H35)</f>
        <v>3381.89</v>
      </c>
      <c r="I36" s="125">
        <f>+H36+F36</f>
        <v>19882.904999999999</v>
      </c>
      <c r="J36" s="126"/>
    </row>
    <row r="37" spans="1:10" ht="20.25" x14ac:dyDescent="0.25">
      <c r="A37" s="282">
        <v>6</v>
      </c>
      <c r="B37" s="183" t="s">
        <v>119</v>
      </c>
      <c r="C37" s="182"/>
      <c r="D37" s="183"/>
      <c r="E37" s="183"/>
      <c r="F37" s="183"/>
      <c r="G37" s="183"/>
      <c r="H37" s="183"/>
      <c r="I37" s="183"/>
      <c r="J37" s="182"/>
    </row>
    <row r="38" spans="1:10" ht="20.25" x14ac:dyDescent="0.3">
      <c r="A38" s="131">
        <v>6.1</v>
      </c>
      <c r="B38" s="184" t="s">
        <v>94</v>
      </c>
      <c r="C38" s="185">
        <v>46.5</v>
      </c>
      <c r="D38" s="131" t="s">
        <v>47</v>
      </c>
      <c r="E38" s="107">
        <v>81</v>
      </c>
      <c r="F38" s="107">
        <f>E38*C38</f>
        <v>3766.5</v>
      </c>
      <c r="G38" s="107">
        <v>120</v>
      </c>
      <c r="H38" s="146">
        <f>G38*C38</f>
        <v>5580</v>
      </c>
      <c r="I38" s="146">
        <f>H38+F38</f>
        <v>9346.5</v>
      </c>
      <c r="J38" s="140"/>
    </row>
    <row r="39" spans="1:10" ht="20.25" x14ac:dyDescent="0.3">
      <c r="A39" s="131">
        <v>6.2</v>
      </c>
      <c r="B39" s="184" t="s">
        <v>93</v>
      </c>
      <c r="C39" s="185">
        <v>20</v>
      </c>
      <c r="D39" s="131" t="s">
        <v>35</v>
      </c>
      <c r="E39" s="107">
        <v>376</v>
      </c>
      <c r="F39" s="107">
        <f t="shared" ref="F39:F43" si="6">E39*C39</f>
        <v>7520</v>
      </c>
      <c r="G39" s="107">
        <f>(E39*30)/100</f>
        <v>112.8</v>
      </c>
      <c r="H39" s="146">
        <f t="shared" ref="H39:H40" si="7">G39*C39</f>
        <v>2256</v>
      </c>
      <c r="I39" s="146">
        <f t="shared" ref="I39:I43" si="8">H39+F39</f>
        <v>9776</v>
      </c>
      <c r="J39" s="140"/>
    </row>
    <row r="40" spans="1:10" ht="20.25" x14ac:dyDescent="0.3">
      <c r="A40" s="131">
        <v>6.3</v>
      </c>
      <c r="B40" s="184" t="s">
        <v>92</v>
      </c>
      <c r="C40" s="185">
        <v>1</v>
      </c>
      <c r="D40" s="131" t="s">
        <v>27</v>
      </c>
      <c r="E40" s="107">
        <v>450</v>
      </c>
      <c r="F40" s="107">
        <f t="shared" si="6"/>
        <v>450</v>
      </c>
      <c r="G40" s="107">
        <f>(E40*30)/100</f>
        <v>135</v>
      </c>
      <c r="H40" s="146">
        <f t="shared" si="7"/>
        <v>135</v>
      </c>
      <c r="I40" s="146">
        <f t="shared" si="8"/>
        <v>585</v>
      </c>
      <c r="J40" s="140"/>
    </row>
    <row r="41" spans="1:10" ht="20.25" x14ac:dyDescent="0.25">
      <c r="A41" s="131">
        <v>6.4</v>
      </c>
      <c r="B41" s="186" t="s">
        <v>162</v>
      </c>
      <c r="C41" s="185">
        <v>2</v>
      </c>
      <c r="D41" s="131" t="s">
        <v>36</v>
      </c>
      <c r="E41" s="107">
        <v>580</v>
      </c>
      <c r="F41" s="107">
        <f t="shared" si="6"/>
        <v>1160</v>
      </c>
      <c r="G41" s="107">
        <f>(E41*20)/100</f>
        <v>116</v>
      </c>
      <c r="H41" s="146">
        <f>G41*C41</f>
        <v>232</v>
      </c>
      <c r="I41" s="146">
        <f t="shared" si="8"/>
        <v>1392</v>
      </c>
      <c r="J41" s="146"/>
    </row>
    <row r="42" spans="1:10" ht="20.25" x14ac:dyDescent="0.25">
      <c r="A42" s="131">
        <v>6.5</v>
      </c>
      <c r="B42" s="186" t="s">
        <v>161</v>
      </c>
      <c r="C42" s="185">
        <v>2</v>
      </c>
      <c r="D42" s="131" t="s">
        <v>36</v>
      </c>
      <c r="E42" s="107">
        <v>560.75</v>
      </c>
      <c r="F42" s="107">
        <f t="shared" si="6"/>
        <v>1121.5</v>
      </c>
      <c r="G42" s="107">
        <f>(E42*20)/100</f>
        <v>112.15</v>
      </c>
      <c r="H42" s="146">
        <f>G42*C42</f>
        <v>224.3</v>
      </c>
      <c r="I42" s="146">
        <f t="shared" si="8"/>
        <v>1345.8</v>
      </c>
      <c r="J42" s="146"/>
    </row>
    <row r="43" spans="1:10" ht="20.25" x14ac:dyDescent="0.3">
      <c r="A43" s="159">
        <v>6.6</v>
      </c>
      <c r="B43" s="187" t="s">
        <v>95</v>
      </c>
      <c r="C43" s="133">
        <v>18</v>
      </c>
      <c r="D43" s="117" t="s">
        <v>52</v>
      </c>
      <c r="E43" s="188">
        <v>204.67</v>
      </c>
      <c r="F43" s="117">
        <f t="shared" si="6"/>
        <v>3684.06</v>
      </c>
      <c r="G43" s="111">
        <f>+E43*0.3</f>
        <v>61.400999999999996</v>
      </c>
      <c r="H43" s="146">
        <f>G43*C43</f>
        <v>1105.2179999999998</v>
      </c>
      <c r="I43" s="146">
        <f t="shared" si="8"/>
        <v>4789.2780000000002</v>
      </c>
      <c r="J43" s="113"/>
    </row>
    <row r="44" spans="1:10" ht="20.25" x14ac:dyDescent="0.3">
      <c r="A44" s="176" t="s">
        <v>57</v>
      </c>
      <c r="B44" s="176"/>
      <c r="C44" s="177"/>
      <c r="D44" s="178"/>
      <c r="E44" s="122"/>
      <c r="F44" s="123">
        <f>SUM(F38:F43)</f>
        <v>17702.060000000001</v>
      </c>
      <c r="G44" s="124"/>
      <c r="H44" s="125">
        <f>SUM(H38:H43)</f>
        <v>9532.518</v>
      </c>
      <c r="I44" s="125">
        <f>+H44+F44</f>
        <v>27234.578000000001</v>
      </c>
      <c r="J44" s="126"/>
    </row>
    <row r="45" spans="1:10" ht="20.25" x14ac:dyDescent="0.3">
      <c r="A45" s="190">
        <v>7</v>
      </c>
      <c r="B45" s="106" t="s">
        <v>74</v>
      </c>
      <c r="C45" s="191"/>
      <c r="D45" s="105"/>
      <c r="E45" s="192"/>
      <c r="F45" s="193"/>
      <c r="G45" s="194"/>
      <c r="H45" s="195"/>
      <c r="I45" s="196">
        <v>0</v>
      </c>
      <c r="J45" s="197"/>
    </row>
    <row r="46" spans="1:10" ht="20.25" x14ac:dyDescent="0.3">
      <c r="A46" s="198">
        <v>7.1</v>
      </c>
      <c r="B46" s="199" t="s">
        <v>120</v>
      </c>
      <c r="C46" s="133">
        <v>100</v>
      </c>
      <c r="D46" s="117" t="s">
        <v>75</v>
      </c>
      <c r="E46" s="188">
        <f>230.84/4</f>
        <v>57.71</v>
      </c>
      <c r="F46" s="117">
        <f>+E46*C46</f>
        <v>5771</v>
      </c>
      <c r="G46" s="111">
        <v>40</v>
      </c>
      <c r="H46" s="112">
        <f>+G46*C46</f>
        <v>4000</v>
      </c>
      <c r="I46" s="112">
        <f>+H46+F46</f>
        <v>9771</v>
      </c>
      <c r="J46" s="113"/>
    </row>
    <row r="47" spans="1:10" ht="20.25" x14ac:dyDescent="0.3">
      <c r="A47" s="198">
        <v>7.2</v>
      </c>
      <c r="B47" s="187" t="s">
        <v>77</v>
      </c>
      <c r="C47" s="133">
        <v>1</v>
      </c>
      <c r="D47" s="117" t="s">
        <v>65</v>
      </c>
      <c r="E47" s="188">
        <f>SUM(F46)*0.3</f>
        <v>1731.3</v>
      </c>
      <c r="F47" s="117">
        <f>+E47*C47</f>
        <v>1731.3</v>
      </c>
      <c r="G47" s="111">
        <f>+F47*0.2</f>
        <v>346.26</v>
      </c>
      <c r="H47" s="112">
        <f>+G47*C47</f>
        <v>346.26</v>
      </c>
      <c r="I47" s="112">
        <f>+H47+F47</f>
        <v>2077.56</v>
      </c>
      <c r="J47" s="113" t="s">
        <v>179</v>
      </c>
    </row>
    <row r="48" spans="1:10" ht="20.25" x14ac:dyDescent="0.3">
      <c r="A48" s="119" t="s">
        <v>60</v>
      </c>
      <c r="B48" s="202"/>
      <c r="C48" s="177"/>
      <c r="D48" s="178"/>
      <c r="E48" s="122"/>
      <c r="F48" s="123">
        <f>SUM(F46:F47)</f>
        <v>7502.3</v>
      </c>
      <c r="G48" s="124"/>
      <c r="H48" s="125">
        <f>SUM(H46:H47)</f>
        <v>4346.26</v>
      </c>
      <c r="I48" s="125">
        <f>+H48+F48</f>
        <v>11848.560000000001</v>
      </c>
      <c r="J48" s="126"/>
    </row>
    <row r="49" spans="1:10" ht="20.25" x14ac:dyDescent="0.3">
      <c r="A49" s="136">
        <v>8</v>
      </c>
      <c r="B49" s="283" t="s">
        <v>121</v>
      </c>
      <c r="C49" s="284"/>
      <c r="D49" s="193"/>
      <c r="E49" s="285"/>
      <c r="F49" s="193"/>
      <c r="G49" s="194"/>
      <c r="H49" s="196"/>
      <c r="I49" s="196"/>
      <c r="J49" s="197"/>
    </row>
    <row r="50" spans="1:10" ht="20.25" x14ac:dyDescent="0.3">
      <c r="A50" s="114">
        <v>8.1</v>
      </c>
      <c r="B50" s="277" t="s">
        <v>122</v>
      </c>
      <c r="C50" s="133">
        <v>3</v>
      </c>
      <c r="D50" s="117" t="s">
        <v>35</v>
      </c>
      <c r="E50" s="188">
        <v>259.68</v>
      </c>
      <c r="F50" s="117">
        <f t="shared" ref="F50:F61" si="9">+E50*C50</f>
        <v>779.04</v>
      </c>
      <c r="G50" s="111">
        <v>93</v>
      </c>
      <c r="H50" s="112">
        <f>+G50*C50</f>
        <v>279</v>
      </c>
      <c r="I50" s="112">
        <f>+H50+F50</f>
        <v>1058.04</v>
      </c>
      <c r="J50" s="113"/>
    </row>
    <row r="51" spans="1:10" ht="20.25" x14ac:dyDescent="0.3">
      <c r="A51" s="114">
        <v>8.1999999999999993</v>
      </c>
      <c r="B51" s="277" t="s">
        <v>123</v>
      </c>
      <c r="C51" s="133">
        <v>3.81</v>
      </c>
      <c r="D51" s="117" t="s">
        <v>47</v>
      </c>
      <c r="E51" s="188">
        <v>70.400000000000006</v>
      </c>
      <c r="F51" s="117">
        <f t="shared" si="9"/>
        <v>268.22400000000005</v>
      </c>
      <c r="G51" s="111">
        <v>120</v>
      </c>
      <c r="H51" s="112">
        <f>+G51*C51</f>
        <v>457.2</v>
      </c>
      <c r="I51" s="112">
        <f>+H51+F51</f>
        <v>725.42399999999998</v>
      </c>
      <c r="J51" s="113"/>
    </row>
    <row r="52" spans="1:10" ht="20.25" x14ac:dyDescent="0.3">
      <c r="A52" s="114">
        <v>8.3000000000000007</v>
      </c>
      <c r="B52" s="140" t="s">
        <v>177</v>
      </c>
      <c r="C52" s="133">
        <v>0.17599999999999999</v>
      </c>
      <c r="D52" s="117" t="s">
        <v>37</v>
      </c>
      <c r="E52" s="188">
        <v>1995.33</v>
      </c>
      <c r="F52" s="117">
        <f t="shared" si="9"/>
        <v>351.17807999999997</v>
      </c>
      <c r="G52" s="111">
        <v>436</v>
      </c>
      <c r="H52" s="112">
        <f>+G52*C52</f>
        <v>76.73599999999999</v>
      </c>
      <c r="I52" s="112">
        <f>+H52+F52</f>
        <v>427.91407999999996</v>
      </c>
      <c r="J52" s="113"/>
    </row>
    <row r="53" spans="1:10" ht="20.25" x14ac:dyDescent="0.3">
      <c r="A53" s="114">
        <v>8.4</v>
      </c>
      <c r="B53" s="168" t="s">
        <v>181</v>
      </c>
      <c r="C53" s="133">
        <v>0.17599999999999999</v>
      </c>
      <c r="D53" s="117" t="s">
        <v>47</v>
      </c>
      <c r="E53" s="188">
        <v>53</v>
      </c>
      <c r="F53" s="117">
        <f t="shared" si="9"/>
        <v>9.3279999999999994</v>
      </c>
      <c r="G53" s="111">
        <v>5</v>
      </c>
      <c r="H53" s="112">
        <f>+G53*C53</f>
        <v>0.87999999999999989</v>
      </c>
      <c r="I53" s="112">
        <f>+H53+F53</f>
        <v>10.207999999999998</v>
      </c>
      <c r="J53" s="113"/>
    </row>
    <row r="54" spans="1:10" ht="20.25" x14ac:dyDescent="0.3">
      <c r="A54" s="114">
        <v>8.5</v>
      </c>
      <c r="B54" s="168" t="s">
        <v>124</v>
      </c>
      <c r="C54" s="133">
        <v>3</v>
      </c>
      <c r="D54" s="117" t="s">
        <v>54</v>
      </c>
      <c r="E54" s="188">
        <v>3570</v>
      </c>
      <c r="F54" s="117">
        <f t="shared" si="9"/>
        <v>10710</v>
      </c>
      <c r="G54" s="111">
        <v>0</v>
      </c>
      <c r="H54" s="112">
        <f>+G54*C54</f>
        <v>0</v>
      </c>
      <c r="I54" s="112">
        <f>+H54+F54</f>
        <v>10710</v>
      </c>
      <c r="J54" s="113"/>
    </row>
    <row r="55" spans="1:10" ht="20.25" x14ac:dyDescent="0.3">
      <c r="A55" s="114">
        <v>8.6</v>
      </c>
      <c r="B55" s="168" t="s">
        <v>125</v>
      </c>
      <c r="C55" s="133">
        <v>1</v>
      </c>
      <c r="D55" s="117" t="s">
        <v>54</v>
      </c>
      <c r="E55" s="188">
        <v>2639</v>
      </c>
      <c r="F55" s="117">
        <f t="shared" si="9"/>
        <v>2639</v>
      </c>
      <c r="G55" s="111">
        <v>0</v>
      </c>
      <c r="H55" s="112">
        <f t="shared" ref="H55:H61" si="10">+G55*C55</f>
        <v>0</v>
      </c>
      <c r="I55" s="112">
        <f t="shared" ref="I55:I61" si="11">+H55+F55</f>
        <v>2639</v>
      </c>
      <c r="J55" s="113"/>
    </row>
    <row r="56" spans="1:10" ht="20.25" x14ac:dyDescent="0.3">
      <c r="A56" s="114">
        <v>8.6999999999999993</v>
      </c>
      <c r="B56" s="168" t="s">
        <v>126</v>
      </c>
      <c r="C56" s="133">
        <v>2</v>
      </c>
      <c r="D56" s="117" t="s">
        <v>54</v>
      </c>
      <c r="E56" s="188">
        <v>106.5</v>
      </c>
      <c r="F56" s="117">
        <f t="shared" si="9"/>
        <v>213</v>
      </c>
      <c r="G56" s="111">
        <v>0</v>
      </c>
      <c r="H56" s="112">
        <f t="shared" si="10"/>
        <v>0</v>
      </c>
      <c r="I56" s="112">
        <f t="shared" si="11"/>
        <v>213</v>
      </c>
      <c r="J56" s="113"/>
    </row>
    <row r="57" spans="1:10" ht="20.25" x14ac:dyDescent="0.3">
      <c r="A57" s="114">
        <v>8.8000000000000007</v>
      </c>
      <c r="B57" s="168" t="s">
        <v>127</v>
      </c>
      <c r="C57" s="133">
        <v>8</v>
      </c>
      <c r="D57" s="117" t="s">
        <v>54</v>
      </c>
      <c r="E57" s="188">
        <v>87.5</v>
      </c>
      <c r="F57" s="117">
        <f t="shared" si="9"/>
        <v>700</v>
      </c>
      <c r="G57" s="111">
        <v>0</v>
      </c>
      <c r="H57" s="112">
        <f t="shared" si="10"/>
        <v>0</v>
      </c>
      <c r="I57" s="112">
        <f t="shared" si="11"/>
        <v>700</v>
      </c>
      <c r="J57" s="113"/>
    </row>
    <row r="58" spans="1:10" ht="20.25" x14ac:dyDescent="0.3">
      <c r="A58" s="114">
        <v>8.9</v>
      </c>
      <c r="B58" s="168" t="s">
        <v>128</v>
      </c>
      <c r="C58" s="133">
        <v>1</v>
      </c>
      <c r="D58" s="117" t="s">
        <v>54</v>
      </c>
      <c r="E58" s="188">
        <v>430</v>
      </c>
      <c r="F58" s="117">
        <f t="shared" si="9"/>
        <v>430</v>
      </c>
      <c r="G58" s="111">
        <v>0</v>
      </c>
      <c r="H58" s="112">
        <f t="shared" si="10"/>
        <v>0</v>
      </c>
      <c r="I58" s="112">
        <f t="shared" si="11"/>
        <v>430</v>
      </c>
      <c r="J58" s="113"/>
    </row>
    <row r="59" spans="1:10" ht="20.25" x14ac:dyDescent="0.3">
      <c r="A59" s="286">
        <v>8.1</v>
      </c>
      <c r="B59" s="168" t="s">
        <v>129</v>
      </c>
      <c r="C59" s="133">
        <v>1</v>
      </c>
      <c r="D59" s="117" t="s">
        <v>54</v>
      </c>
      <c r="E59" s="188">
        <v>10510</v>
      </c>
      <c r="F59" s="117">
        <f t="shared" si="9"/>
        <v>10510</v>
      </c>
      <c r="G59" s="111">
        <v>0</v>
      </c>
      <c r="H59" s="112">
        <f t="shared" si="10"/>
        <v>0</v>
      </c>
      <c r="I59" s="112">
        <f t="shared" si="11"/>
        <v>10510</v>
      </c>
      <c r="J59" s="113"/>
    </row>
    <row r="60" spans="1:10" ht="20.25" x14ac:dyDescent="0.3">
      <c r="A60" s="114">
        <v>8.11</v>
      </c>
      <c r="B60" s="168" t="s">
        <v>180</v>
      </c>
      <c r="C60" s="133">
        <v>2</v>
      </c>
      <c r="D60" s="117" t="s">
        <v>54</v>
      </c>
      <c r="E60" s="188">
        <v>33.81</v>
      </c>
      <c r="F60" s="117">
        <f t="shared" si="9"/>
        <v>67.62</v>
      </c>
      <c r="G60" s="111">
        <v>0</v>
      </c>
      <c r="H60" s="112">
        <f t="shared" si="10"/>
        <v>0</v>
      </c>
      <c r="I60" s="112">
        <f t="shared" si="11"/>
        <v>67.62</v>
      </c>
      <c r="J60" s="113"/>
    </row>
    <row r="61" spans="1:10" ht="20.25" x14ac:dyDescent="0.3">
      <c r="A61" s="159">
        <v>8.1199999999999992</v>
      </c>
      <c r="B61" s="168" t="s">
        <v>130</v>
      </c>
      <c r="C61" s="133">
        <v>1</v>
      </c>
      <c r="D61" s="117" t="s">
        <v>65</v>
      </c>
      <c r="E61" s="188">
        <v>0</v>
      </c>
      <c r="F61" s="117">
        <f t="shared" si="9"/>
        <v>0</v>
      </c>
      <c r="G61" s="111">
        <f>SUM(F54:F60)*0.3</f>
        <v>7580.8859999999995</v>
      </c>
      <c r="H61" s="112">
        <f t="shared" si="10"/>
        <v>7580.8859999999995</v>
      </c>
      <c r="I61" s="112">
        <f t="shared" si="11"/>
        <v>7580.8859999999995</v>
      </c>
      <c r="J61" s="277" t="s">
        <v>131</v>
      </c>
    </row>
    <row r="62" spans="1:10" ht="20.25" x14ac:dyDescent="0.3">
      <c r="A62" s="119" t="s">
        <v>79</v>
      </c>
      <c r="B62" s="202"/>
      <c r="C62" s="177"/>
      <c r="D62" s="178"/>
      <c r="E62" s="122"/>
      <c r="F62" s="123">
        <f>SUM(F50:F61)</f>
        <v>26677.390080000001</v>
      </c>
      <c r="G62" s="124"/>
      <c r="H62" s="125">
        <f>SUM(H50:H61)</f>
        <v>8394.7019999999993</v>
      </c>
      <c r="I62" s="125">
        <f>+H62+F62</f>
        <v>35072.092080000002</v>
      </c>
      <c r="J62" s="126"/>
    </row>
    <row r="63" spans="1:10" ht="20.25" x14ac:dyDescent="0.3">
      <c r="A63" s="287">
        <v>9</v>
      </c>
      <c r="B63" s="288" t="s">
        <v>58</v>
      </c>
      <c r="C63" s="287"/>
      <c r="D63" s="289"/>
      <c r="E63" s="287"/>
      <c r="F63" s="290"/>
      <c r="G63" s="291"/>
      <c r="H63" s="292"/>
      <c r="I63" s="292"/>
      <c r="J63" s="293"/>
    </row>
    <row r="64" spans="1:10" ht="20.25" x14ac:dyDescent="0.3">
      <c r="A64" s="271">
        <v>9.1</v>
      </c>
      <c r="B64" s="294" t="s">
        <v>78</v>
      </c>
      <c r="C64" s="274">
        <v>1</v>
      </c>
      <c r="D64" s="295" t="s">
        <v>31</v>
      </c>
      <c r="E64" s="274">
        <v>3000</v>
      </c>
      <c r="F64" s="269">
        <f>E64*C64</f>
        <v>3000</v>
      </c>
      <c r="G64" s="206">
        <v>0</v>
      </c>
      <c r="H64" s="296">
        <f>G64*C64</f>
        <v>0</v>
      </c>
      <c r="I64" s="296">
        <f>H64+F64</f>
        <v>3000</v>
      </c>
      <c r="J64" s="293"/>
    </row>
    <row r="65" spans="1:10" ht="20.25" x14ac:dyDescent="0.3">
      <c r="A65" s="271">
        <v>9.1999999999999993</v>
      </c>
      <c r="B65" s="294" t="s">
        <v>59</v>
      </c>
      <c r="C65" s="274">
        <v>1</v>
      </c>
      <c r="D65" s="295" t="s">
        <v>27</v>
      </c>
      <c r="E65" s="274">
        <v>1000</v>
      </c>
      <c r="F65" s="269">
        <f>E65*C65</f>
        <v>1000</v>
      </c>
      <c r="G65" s="206">
        <v>0</v>
      </c>
      <c r="H65" s="296">
        <f>G65*C65</f>
        <v>0</v>
      </c>
      <c r="I65" s="296">
        <f>H65+F65</f>
        <v>1000</v>
      </c>
      <c r="J65" s="293"/>
    </row>
    <row r="66" spans="1:10" ht="20.25" x14ac:dyDescent="0.3">
      <c r="A66" s="119" t="s">
        <v>97</v>
      </c>
      <c r="B66" s="120"/>
      <c r="C66" s="121"/>
      <c r="D66" s="177"/>
      <c r="E66" s="121"/>
      <c r="F66" s="125">
        <f>SUM(F64:F65)</f>
        <v>4000</v>
      </c>
      <c r="G66" s="124"/>
      <c r="H66" s="125">
        <f>SUM(H64:H65)</f>
        <v>0</v>
      </c>
      <c r="I66" s="125">
        <f>SUM(I64:I65)</f>
        <v>4000</v>
      </c>
      <c r="J66" s="217"/>
    </row>
    <row r="67" spans="1:10" ht="20.25" x14ac:dyDescent="0.3">
      <c r="A67" s="119" t="s">
        <v>80</v>
      </c>
      <c r="B67" s="120"/>
      <c r="C67" s="120"/>
      <c r="D67" s="120"/>
      <c r="E67" s="202"/>
      <c r="F67" s="224">
        <f>SUM(F66,F62,F48,F44,F36,F31,F25,F17,F11)</f>
        <v>106760.13728</v>
      </c>
      <c r="G67" s="225"/>
      <c r="H67" s="226">
        <f>SUM(H66,H62,H48,H44,H36,H31,H25,H11)</f>
        <v>30427.57</v>
      </c>
      <c r="I67" s="226">
        <f>+H67+F67</f>
        <v>137187.70728</v>
      </c>
      <c r="J67" s="227"/>
    </row>
    <row r="68" spans="1:10" ht="24.75" customHeight="1" x14ac:dyDescent="0.35">
      <c r="A68" s="228" t="s">
        <v>135</v>
      </c>
      <c r="B68" s="228"/>
      <c r="C68" s="228"/>
      <c r="D68" s="228"/>
      <c r="E68" s="228"/>
      <c r="F68" s="228"/>
      <c r="G68" s="229">
        <v>1</v>
      </c>
      <c r="H68" s="229" t="s">
        <v>133</v>
      </c>
      <c r="I68" s="230">
        <f>+I67</f>
        <v>137187.70728</v>
      </c>
      <c r="J68" s="231"/>
    </row>
    <row r="69" spans="1:10" ht="24.75" customHeight="1" x14ac:dyDescent="0.35">
      <c r="A69" s="228" t="s">
        <v>134</v>
      </c>
      <c r="B69" s="228"/>
      <c r="C69" s="228"/>
      <c r="D69" s="228"/>
      <c r="E69" s="228"/>
      <c r="F69" s="228"/>
      <c r="G69" s="229">
        <v>2</v>
      </c>
      <c r="H69" s="229" t="s">
        <v>133</v>
      </c>
      <c r="I69" s="232">
        <f>+I68*G69</f>
        <v>274375.41456</v>
      </c>
      <c r="J69" s="231"/>
    </row>
    <row r="70" spans="1:10" ht="23.25" x14ac:dyDescent="0.35">
      <c r="A70" s="233" t="s">
        <v>173</v>
      </c>
      <c r="B70" s="233" t="s">
        <v>183</v>
      </c>
      <c r="G70" s="297"/>
    </row>
    <row r="71" spans="1:10" ht="20.25" x14ac:dyDescent="0.3">
      <c r="A71" s="48"/>
      <c r="B71" s="233" t="s">
        <v>175</v>
      </c>
    </row>
  </sheetData>
  <mergeCells count="20">
    <mergeCell ref="A44:B44"/>
    <mergeCell ref="A1:J1"/>
    <mergeCell ref="A7:A8"/>
    <mergeCell ref="B7:B8"/>
    <mergeCell ref="C7:C8"/>
    <mergeCell ref="D7:D8"/>
    <mergeCell ref="E7:F7"/>
    <mergeCell ref="G7:H7"/>
    <mergeCell ref="J7:J8"/>
    <mergeCell ref="A11:B11"/>
    <mergeCell ref="A17:B17"/>
    <mergeCell ref="A25:B25"/>
    <mergeCell ref="A31:B31"/>
    <mergeCell ref="A36:B36"/>
    <mergeCell ref="A68:F68"/>
    <mergeCell ref="A69:F69"/>
    <mergeCell ref="A48:B48"/>
    <mergeCell ref="A62:B62"/>
    <mergeCell ref="A66:B66"/>
    <mergeCell ref="A67:E6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"/>
  <sheetViews>
    <sheetView zoomScale="85" zoomScaleNormal="85" zoomScaleSheetLayoutView="100" workbookViewId="0">
      <selection activeCell="G19" sqref="G19"/>
    </sheetView>
  </sheetViews>
  <sheetFormatPr defaultRowHeight="15" x14ac:dyDescent="0.25"/>
  <cols>
    <col min="1" max="1" width="9" style="2"/>
    <col min="2" max="2" width="50.75" style="2" customWidth="1"/>
    <col min="3" max="4" width="9" style="2"/>
    <col min="5" max="5" width="13.25" style="2" customWidth="1"/>
    <col min="6" max="6" width="11.75" style="2" customWidth="1"/>
    <col min="7" max="7" width="12.25" style="2" bestFit="1" customWidth="1"/>
    <col min="8" max="8" width="11.125" style="2" customWidth="1"/>
    <col min="9" max="9" width="16.375" style="2" bestFit="1" customWidth="1"/>
    <col min="10" max="10" width="11.25" style="2" customWidth="1"/>
    <col min="11" max="16384" width="9" style="2"/>
  </cols>
  <sheetData>
    <row r="1" spans="1:10" ht="23.25" x14ac:dyDescent="0.35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x14ac:dyDescent="0.3">
      <c r="A2" s="5" t="s">
        <v>192</v>
      </c>
      <c r="B2" s="5"/>
      <c r="C2" s="234"/>
      <c r="D2" s="5"/>
      <c r="E2" s="5"/>
      <c r="F2" s="5"/>
      <c r="G2" s="5"/>
      <c r="H2" s="5"/>
      <c r="I2" s="5"/>
      <c r="J2" s="235"/>
    </row>
    <row r="3" spans="1:10" ht="20.25" x14ac:dyDescent="0.3">
      <c r="A3" s="5" t="s">
        <v>171</v>
      </c>
      <c r="B3" s="5"/>
      <c r="C3" s="234"/>
      <c r="D3" s="5"/>
      <c r="F3" s="5" t="s">
        <v>203</v>
      </c>
      <c r="G3" s="5"/>
      <c r="H3" s="5"/>
      <c r="I3" s="5" t="s">
        <v>4</v>
      </c>
      <c r="J3" s="5"/>
    </row>
    <row r="4" spans="1:10" ht="20.25" x14ac:dyDescent="0.3">
      <c r="A4" s="5" t="s">
        <v>191</v>
      </c>
      <c r="B4" s="5"/>
      <c r="C4" s="234"/>
      <c r="D4" s="5"/>
      <c r="F4" s="5" t="s">
        <v>169</v>
      </c>
      <c r="G4" s="5"/>
      <c r="H4" s="5"/>
      <c r="I4" s="5" t="s">
        <v>7</v>
      </c>
      <c r="J4" s="5"/>
    </row>
    <row r="5" spans="1:10" ht="20.25" x14ac:dyDescent="0.3">
      <c r="A5" s="5" t="s">
        <v>204</v>
      </c>
      <c r="B5" s="5"/>
      <c r="C5" s="5"/>
      <c r="D5" s="5"/>
      <c r="F5" s="5" t="s">
        <v>206</v>
      </c>
      <c r="G5" s="5"/>
      <c r="H5" s="5"/>
      <c r="I5" s="5"/>
      <c r="J5" s="5"/>
    </row>
    <row r="6" spans="1:10" ht="20.25" x14ac:dyDescent="0.3">
      <c r="A6" s="91"/>
      <c r="B6" s="91"/>
      <c r="C6" s="236"/>
      <c r="D6" s="91"/>
      <c r="E6" s="91"/>
      <c r="F6" s="91"/>
      <c r="G6" s="91"/>
      <c r="H6" s="91"/>
      <c r="I6" s="91"/>
      <c r="J6" s="93" t="s">
        <v>81</v>
      </c>
    </row>
    <row r="7" spans="1:10" ht="20.25" x14ac:dyDescent="0.3">
      <c r="A7" s="237" t="s">
        <v>12</v>
      </c>
      <c r="B7" s="94" t="s">
        <v>13</v>
      </c>
      <c r="C7" s="238" t="s">
        <v>14</v>
      </c>
      <c r="D7" s="94" t="s">
        <v>15</v>
      </c>
      <c r="E7" s="95" t="s">
        <v>188</v>
      </c>
      <c r="F7" s="96"/>
      <c r="G7" s="97" t="s">
        <v>17</v>
      </c>
      <c r="H7" s="96"/>
      <c r="I7" s="98" t="s">
        <v>63</v>
      </c>
      <c r="J7" s="99" t="s">
        <v>19</v>
      </c>
    </row>
    <row r="8" spans="1:10" ht="20.25" x14ac:dyDescent="0.3">
      <c r="A8" s="239"/>
      <c r="B8" s="100"/>
      <c r="C8" s="240"/>
      <c r="D8" s="100"/>
      <c r="E8" s="101" t="s">
        <v>20</v>
      </c>
      <c r="F8" s="101" t="s">
        <v>21</v>
      </c>
      <c r="G8" s="102" t="s">
        <v>20</v>
      </c>
      <c r="H8" s="101" t="s">
        <v>21</v>
      </c>
      <c r="I8" s="103" t="s">
        <v>18</v>
      </c>
      <c r="J8" s="104"/>
    </row>
    <row r="9" spans="1:10" ht="20.25" x14ac:dyDescent="0.25">
      <c r="A9" s="241">
        <v>1</v>
      </c>
      <c r="B9" s="242" t="s">
        <v>96</v>
      </c>
      <c r="C9" s="243"/>
      <c r="D9" s="244"/>
      <c r="E9" s="244"/>
      <c r="F9" s="244"/>
      <c r="G9" s="244"/>
      <c r="H9" s="244"/>
      <c r="I9" s="244"/>
      <c r="J9" s="245"/>
    </row>
    <row r="10" spans="1:10" ht="20.25" x14ac:dyDescent="0.25">
      <c r="A10" s="131">
        <v>1.1000000000000001</v>
      </c>
      <c r="B10" s="246" t="s">
        <v>165</v>
      </c>
      <c r="C10" s="116">
        <v>5000</v>
      </c>
      <c r="D10" s="131" t="s">
        <v>166</v>
      </c>
      <c r="E10" s="146">
        <v>26</v>
      </c>
      <c r="F10" s="146">
        <f>E10*C10</f>
        <v>130000</v>
      </c>
      <c r="G10" s="146">
        <v>0</v>
      </c>
      <c r="H10" s="146">
        <f>G10*C10</f>
        <v>0</v>
      </c>
      <c r="I10" s="146">
        <f>H10+F10</f>
        <v>130000</v>
      </c>
      <c r="J10" s="146"/>
    </row>
    <row r="11" spans="1:10" ht="20.25" x14ac:dyDescent="0.25">
      <c r="A11" s="247">
        <v>1.2</v>
      </c>
      <c r="B11" s="246" t="s">
        <v>182</v>
      </c>
      <c r="C11" s="116">
        <v>1</v>
      </c>
      <c r="D11" s="131" t="s">
        <v>62</v>
      </c>
      <c r="E11" s="146">
        <v>125000</v>
      </c>
      <c r="F11" s="146">
        <f>E11*C11</f>
        <v>125000</v>
      </c>
      <c r="G11" s="146">
        <v>0</v>
      </c>
      <c r="H11" s="146">
        <f>G11*C11</f>
        <v>0</v>
      </c>
      <c r="I11" s="146">
        <f>H11+F11</f>
        <v>125000</v>
      </c>
      <c r="J11" s="146"/>
    </row>
    <row r="12" spans="1:10" ht="20.25" x14ac:dyDescent="0.25">
      <c r="A12" s="248"/>
      <c r="B12" s="249" t="s">
        <v>63</v>
      </c>
      <c r="C12" s="250"/>
      <c r="D12" s="249"/>
      <c r="E12" s="250"/>
      <c r="F12" s="251">
        <f>SUM(F10:F11)</f>
        <v>255000</v>
      </c>
      <c r="G12" s="250"/>
      <c r="H12" s="252"/>
      <c r="I12" s="253">
        <f>+F12</f>
        <v>255000</v>
      </c>
      <c r="J12" s="254"/>
    </row>
    <row r="13" spans="1:10" ht="20.25" x14ac:dyDescent="0.3">
      <c r="A13" s="255" t="s">
        <v>135</v>
      </c>
      <c r="B13" s="255"/>
      <c r="C13" s="255"/>
      <c r="D13" s="255"/>
      <c r="E13" s="255"/>
      <c r="F13" s="255"/>
      <c r="G13" s="256">
        <v>1</v>
      </c>
      <c r="H13" s="256" t="s">
        <v>133</v>
      </c>
      <c r="I13" s="257">
        <f>+I12</f>
        <v>255000</v>
      </c>
      <c r="J13" s="258"/>
    </row>
    <row r="14" spans="1:10" ht="20.25" x14ac:dyDescent="0.3">
      <c r="A14" s="255" t="s">
        <v>134</v>
      </c>
      <c r="B14" s="255"/>
      <c r="C14" s="255"/>
      <c r="D14" s="255"/>
      <c r="E14" s="255"/>
      <c r="F14" s="255"/>
      <c r="G14" s="256">
        <v>2</v>
      </c>
      <c r="H14" s="256" t="s">
        <v>133</v>
      </c>
      <c r="I14" s="259">
        <f>+I13*G14</f>
        <v>510000</v>
      </c>
      <c r="J14" s="258"/>
    </row>
  </sheetData>
  <mergeCells count="10">
    <mergeCell ref="A13:F13"/>
    <mergeCell ref="A14:F14"/>
    <mergeCell ref="A1:J1"/>
    <mergeCell ref="A7:A8"/>
    <mergeCell ref="B7:B8"/>
    <mergeCell ref="C7:C8"/>
    <mergeCell ref="D7:D8"/>
    <mergeCell ref="E7:F7"/>
    <mergeCell ref="G7:H7"/>
    <mergeCell ref="J7:J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zoomScaleSheetLayoutView="85" workbookViewId="0">
      <selection activeCell="D17" sqref="D17"/>
    </sheetView>
  </sheetViews>
  <sheetFormatPr defaultRowHeight="15" x14ac:dyDescent="0.25"/>
  <cols>
    <col min="1" max="1" width="9.25" style="2" bestFit="1" customWidth="1"/>
    <col min="2" max="2" width="47.25" style="2" bestFit="1" customWidth="1"/>
    <col min="3" max="4" width="9" style="2"/>
    <col min="5" max="5" width="12.875" style="2" bestFit="1" customWidth="1"/>
    <col min="6" max="6" width="10.875" style="2" bestFit="1" customWidth="1"/>
    <col min="7" max="7" width="12.375" style="2" bestFit="1" customWidth="1"/>
    <col min="8" max="8" width="10.875" style="2" customWidth="1"/>
    <col min="9" max="9" width="16.5" style="2" bestFit="1" customWidth="1"/>
    <col min="10" max="10" width="10.125" style="2" bestFit="1" customWidth="1"/>
    <col min="11" max="16384" width="9" style="2"/>
  </cols>
  <sheetData>
    <row r="1" spans="1:10" ht="23.25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x14ac:dyDescent="0.3">
      <c r="A2" s="5" t="s">
        <v>184</v>
      </c>
      <c r="B2" s="5"/>
      <c r="C2" s="5"/>
      <c r="D2" s="5"/>
      <c r="E2" s="5"/>
      <c r="F2" s="5"/>
      <c r="G2" s="5"/>
      <c r="H2" s="5"/>
      <c r="I2" s="5"/>
      <c r="J2" s="89" t="s">
        <v>1</v>
      </c>
    </row>
    <row r="3" spans="1:10" ht="20.25" x14ac:dyDescent="0.3">
      <c r="A3" s="5" t="s">
        <v>2</v>
      </c>
      <c r="B3" s="5"/>
      <c r="C3" s="5"/>
      <c r="D3" s="5"/>
      <c r="E3" s="5" t="s">
        <v>3</v>
      </c>
      <c r="F3" s="5"/>
      <c r="G3" s="5"/>
      <c r="H3" s="5" t="s">
        <v>4</v>
      </c>
      <c r="I3" s="5"/>
      <c r="J3" s="5"/>
    </row>
    <row r="4" spans="1:10" ht="20.25" x14ac:dyDescent="0.3">
      <c r="A4" s="5" t="s">
        <v>5</v>
      </c>
      <c r="B4" s="5"/>
      <c r="C4" s="5"/>
      <c r="D4" s="5"/>
      <c r="E4" s="5" t="s">
        <v>6</v>
      </c>
      <c r="F4" s="5"/>
      <c r="G4" s="5"/>
      <c r="H4" s="5" t="s">
        <v>185</v>
      </c>
      <c r="I4" s="5"/>
      <c r="J4" s="5"/>
    </row>
    <row r="5" spans="1:10" ht="20.25" x14ac:dyDescent="0.3">
      <c r="A5" s="5" t="s">
        <v>8</v>
      </c>
      <c r="B5" s="5"/>
      <c r="C5" s="5"/>
      <c r="D5" s="5"/>
      <c r="E5" s="5" t="s">
        <v>9</v>
      </c>
      <c r="F5" s="235" t="s">
        <v>10</v>
      </c>
      <c r="G5" s="5"/>
      <c r="H5" s="5" t="s">
        <v>11</v>
      </c>
      <c r="I5" s="5"/>
      <c r="J5" s="5"/>
    </row>
    <row r="6" spans="1:10" ht="20.25" x14ac:dyDescent="0.3">
      <c r="A6" s="91"/>
      <c r="B6" s="91"/>
      <c r="C6" s="92"/>
      <c r="D6" s="91"/>
      <c r="E6" s="91"/>
      <c r="F6" s="91"/>
      <c r="G6" s="91"/>
      <c r="H6" s="91"/>
      <c r="I6" s="91"/>
      <c r="J6" s="91"/>
    </row>
    <row r="7" spans="1:10" ht="20.25" x14ac:dyDescent="0.3">
      <c r="A7" s="94" t="s">
        <v>12</v>
      </c>
      <c r="B7" s="94" t="s">
        <v>13</v>
      </c>
      <c r="C7" s="94" t="s">
        <v>14</v>
      </c>
      <c r="D7" s="94" t="s">
        <v>15</v>
      </c>
      <c r="E7" s="95" t="s">
        <v>16</v>
      </c>
      <c r="F7" s="96"/>
      <c r="G7" s="97" t="s">
        <v>17</v>
      </c>
      <c r="H7" s="96"/>
      <c r="I7" s="94" t="s">
        <v>18</v>
      </c>
      <c r="J7" s="99" t="s">
        <v>19</v>
      </c>
    </row>
    <row r="8" spans="1:10" ht="20.25" x14ac:dyDescent="0.3">
      <c r="A8" s="100"/>
      <c r="B8" s="100"/>
      <c r="C8" s="100"/>
      <c r="D8" s="100"/>
      <c r="E8" s="101" t="s">
        <v>20</v>
      </c>
      <c r="F8" s="101" t="s">
        <v>21</v>
      </c>
      <c r="G8" s="102" t="s">
        <v>20</v>
      </c>
      <c r="H8" s="101" t="s">
        <v>21</v>
      </c>
      <c r="I8" s="100"/>
      <c r="J8" s="104"/>
    </row>
    <row r="9" spans="1:10" ht="20.25" x14ac:dyDescent="0.3">
      <c r="A9" s="105">
        <v>1</v>
      </c>
      <c r="B9" s="127" t="s">
        <v>186</v>
      </c>
      <c r="C9" s="107"/>
      <c r="D9" s="114"/>
      <c r="E9" s="128"/>
      <c r="F9" s="117"/>
      <c r="G9" s="111"/>
      <c r="H9" s="129"/>
      <c r="I9" s="112"/>
      <c r="J9" s="113"/>
    </row>
    <row r="10" spans="1:10" ht="20.25" x14ac:dyDescent="0.3">
      <c r="A10" s="114">
        <v>1.1000000000000001</v>
      </c>
      <c r="B10" s="130" t="s">
        <v>26</v>
      </c>
      <c r="C10" s="116">
        <v>1</v>
      </c>
      <c r="D10" s="131" t="s">
        <v>27</v>
      </c>
      <c r="E10" s="132">
        <v>800</v>
      </c>
      <c r="F10" s="132">
        <f t="shared" ref="F10:F14" si="0">E10*C10</f>
        <v>800</v>
      </c>
      <c r="G10" s="133">
        <v>0</v>
      </c>
      <c r="H10" s="112">
        <f t="shared" ref="H10:H14" si="1">G10*C10</f>
        <v>0</v>
      </c>
      <c r="I10" s="112">
        <f t="shared" ref="I10:I14" si="2">H10+F10</f>
        <v>800</v>
      </c>
      <c r="J10" s="113"/>
    </row>
    <row r="11" spans="1:10" ht="20.25" x14ac:dyDescent="0.3">
      <c r="A11" s="114">
        <v>1.2</v>
      </c>
      <c r="B11" s="130" t="s">
        <v>29</v>
      </c>
      <c r="C11" s="116">
        <v>1</v>
      </c>
      <c r="D11" s="131" t="s">
        <v>27</v>
      </c>
      <c r="E11" s="132">
        <v>400</v>
      </c>
      <c r="F11" s="132">
        <f t="shared" si="0"/>
        <v>400</v>
      </c>
      <c r="G11" s="118">
        <v>0</v>
      </c>
      <c r="H11" s="112">
        <f t="shared" si="1"/>
        <v>0</v>
      </c>
      <c r="I11" s="112">
        <f t="shared" si="2"/>
        <v>400</v>
      </c>
      <c r="J11" s="113"/>
    </row>
    <row r="12" spans="1:10" ht="20.25" x14ac:dyDescent="0.3">
      <c r="A12" s="114">
        <v>1.3</v>
      </c>
      <c r="B12" s="135" t="s">
        <v>28</v>
      </c>
      <c r="C12" s="116">
        <v>1</v>
      </c>
      <c r="D12" s="131" t="s">
        <v>27</v>
      </c>
      <c r="E12" s="132">
        <v>1500</v>
      </c>
      <c r="F12" s="132">
        <f t="shared" si="0"/>
        <v>1500</v>
      </c>
      <c r="G12" s="118">
        <v>0</v>
      </c>
      <c r="H12" s="112">
        <v>0</v>
      </c>
      <c r="I12" s="112">
        <f t="shared" si="2"/>
        <v>1500</v>
      </c>
      <c r="J12" s="113"/>
    </row>
    <row r="13" spans="1:10" ht="20.25" x14ac:dyDescent="0.3">
      <c r="A13" s="114">
        <v>1.4</v>
      </c>
      <c r="B13" s="135" t="s">
        <v>66</v>
      </c>
      <c r="C13" s="116">
        <v>1</v>
      </c>
      <c r="D13" s="131" t="s">
        <v>27</v>
      </c>
      <c r="E13" s="132">
        <v>500</v>
      </c>
      <c r="F13" s="132">
        <f t="shared" si="0"/>
        <v>500</v>
      </c>
      <c r="G13" s="118">
        <v>0</v>
      </c>
      <c r="H13" s="112">
        <f t="shared" si="1"/>
        <v>0</v>
      </c>
      <c r="I13" s="112">
        <f t="shared" si="2"/>
        <v>500</v>
      </c>
      <c r="J13" s="113"/>
    </row>
    <row r="14" spans="1:10" ht="20.25" x14ac:dyDescent="0.3">
      <c r="A14" s="114">
        <v>1.5</v>
      </c>
      <c r="B14" s="130" t="s">
        <v>30</v>
      </c>
      <c r="C14" s="116">
        <v>1</v>
      </c>
      <c r="D14" s="131" t="s">
        <v>64</v>
      </c>
      <c r="E14" s="132">
        <v>2500</v>
      </c>
      <c r="F14" s="132">
        <f t="shared" si="0"/>
        <v>2500</v>
      </c>
      <c r="G14" s="118">
        <v>0</v>
      </c>
      <c r="H14" s="112">
        <f t="shared" si="1"/>
        <v>0</v>
      </c>
      <c r="I14" s="112">
        <f t="shared" si="2"/>
        <v>2500</v>
      </c>
      <c r="J14" s="113"/>
    </row>
    <row r="15" spans="1:10" ht="20.25" x14ac:dyDescent="0.3">
      <c r="A15" s="119" t="s">
        <v>25</v>
      </c>
      <c r="B15" s="120"/>
      <c r="C15" s="121"/>
      <c r="D15" s="121"/>
      <c r="E15" s="122"/>
      <c r="F15" s="123">
        <f>SUM(F10:F14)</f>
        <v>5700</v>
      </c>
      <c r="G15" s="124"/>
      <c r="H15" s="125">
        <f>SUM(H10:H14)</f>
        <v>0</v>
      </c>
      <c r="I15" s="125">
        <f>+H15+F15</f>
        <v>5700</v>
      </c>
      <c r="J15" s="126"/>
    </row>
    <row r="16" spans="1:10" ht="20.25" x14ac:dyDescent="0.3">
      <c r="A16" s="105">
        <v>2</v>
      </c>
      <c r="B16" s="127" t="s">
        <v>187</v>
      </c>
      <c r="C16" s="107"/>
      <c r="D16" s="114"/>
      <c r="E16" s="128"/>
      <c r="F16" s="117"/>
      <c r="G16" s="111"/>
      <c r="H16" s="129"/>
      <c r="I16" s="112"/>
      <c r="J16" s="113"/>
    </row>
    <row r="17" spans="1:10" ht="20.25" x14ac:dyDescent="0.3">
      <c r="A17" s="114">
        <v>2.1</v>
      </c>
      <c r="B17" s="130" t="s">
        <v>26</v>
      </c>
      <c r="C17" s="116">
        <v>1</v>
      </c>
      <c r="D17" s="131" t="s">
        <v>27</v>
      </c>
      <c r="E17" s="132">
        <v>800</v>
      </c>
      <c r="F17" s="132">
        <f t="shared" ref="F17:F21" si="3">E17*C17</f>
        <v>800</v>
      </c>
      <c r="G17" s="133">
        <v>0</v>
      </c>
      <c r="H17" s="112">
        <f t="shared" ref="H17:H21" si="4">G17*C17</f>
        <v>0</v>
      </c>
      <c r="I17" s="112">
        <f t="shared" ref="I17:I21" si="5">H17+F17</f>
        <v>800</v>
      </c>
      <c r="J17" s="113"/>
    </row>
    <row r="18" spans="1:10" ht="20.25" x14ac:dyDescent="0.3">
      <c r="A18" s="114">
        <v>2.2000000000000002</v>
      </c>
      <c r="B18" s="130" t="s">
        <v>29</v>
      </c>
      <c r="C18" s="116">
        <v>1</v>
      </c>
      <c r="D18" s="131" t="s">
        <v>27</v>
      </c>
      <c r="E18" s="132">
        <v>800</v>
      </c>
      <c r="F18" s="132">
        <f t="shared" si="3"/>
        <v>800</v>
      </c>
      <c r="G18" s="118">
        <v>0</v>
      </c>
      <c r="H18" s="112">
        <f t="shared" si="4"/>
        <v>0</v>
      </c>
      <c r="I18" s="112">
        <f t="shared" si="5"/>
        <v>800</v>
      </c>
      <c r="J18" s="113"/>
    </row>
    <row r="19" spans="1:10" ht="20.25" x14ac:dyDescent="0.3">
      <c r="A19" s="114">
        <v>2.2999999999999998</v>
      </c>
      <c r="B19" s="135" t="s">
        <v>28</v>
      </c>
      <c r="C19" s="116">
        <v>1</v>
      </c>
      <c r="D19" s="131" t="s">
        <v>27</v>
      </c>
      <c r="E19" s="132">
        <v>2500</v>
      </c>
      <c r="F19" s="132">
        <f t="shared" si="3"/>
        <v>2500</v>
      </c>
      <c r="G19" s="118">
        <v>0</v>
      </c>
      <c r="H19" s="112">
        <v>0</v>
      </c>
      <c r="I19" s="112">
        <f t="shared" si="5"/>
        <v>2500</v>
      </c>
      <c r="J19" s="113"/>
    </row>
    <row r="20" spans="1:10" ht="20.25" x14ac:dyDescent="0.3">
      <c r="A20" s="114">
        <v>2.4</v>
      </c>
      <c r="B20" s="135" t="s">
        <v>66</v>
      </c>
      <c r="C20" s="116">
        <v>1</v>
      </c>
      <c r="D20" s="131" t="s">
        <v>27</v>
      </c>
      <c r="E20" s="132">
        <v>1000</v>
      </c>
      <c r="F20" s="132">
        <f t="shared" si="3"/>
        <v>1000</v>
      </c>
      <c r="G20" s="118">
        <v>0</v>
      </c>
      <c r="H20" s="112">
        <f t="shared" si="4"/>
        <v>0</v>
      </c>
      <c r="I20" s="112">
        <f t="shared" si="5"/>
        <v>1000</v>
      </c>
      <c r="J20" s="113"/>
    </row>
    <row r="21" spans="1:10" ht="20.25" x14ac:dyDescent="0.3">
      <c r="A21" s="114">
        <v>2.5</v>
      </c>
      <c r="B21" s="130" t="s">
        <v>30</v>
      </c>
      <c r="C21" s="116">
        <v>1</v>
      </c>
      <c r="D21" s="131" t="s">
        <v>64</v>
      </c>
      <c r="E21" s="132">
        <v>3500</v>
      </c>
      <c r="F21" s="132">
        <f t="shared" si="3"/>
        <v>3500</v>
      </c>
      <c r="G21" s="118">
        <v>0</v>
      </c>
      <c r="H21" s="112">
        <f t="shared" si="4"/>
        <v>0</v>
      </c>
      <c r="I21" s="112">
        <f t="shared" si="5"/>
        <v>3500</v>
      </c>
      <c r="J21" s="298">
        <f>SUM(I17:I21)</f>
        <v>8600</v>
      </c>
    </row>
    <row r="22" spans="1:10" ht="20.25" x14ac:dyDescent="0.3">
      <c r="A22" s="119" t="s">
        <v>33</v>
      </c>
      <c r="B22" s="120"/>
      <c r="C22" s="121"/>
      <c r="D22" s="121"/>
      <c r="E22" s="122"/>
      <c r="F22" s="123">
        <f>SUM(F17:F21)</f>
        <v>8600</v>
      </c>
      <c r="G22" s="124"/>
      <c r="H22" s="125">
        <f>SUM(H17:H21)</f>
        <v>0</v>
      </c>
      <c r="I22" s="125">
        <f>+H22+F22</f>
        <v>8600</v>
      </c>
      <c r="J22" s="126"/>
    </row>
  </sheetData>
  <mergeCells count="11">
    <mergeCell ref="A15:B15"/>
    <mergeCell ref="A22:B22"/>
    <mergeCell ref="A1:J1"/>
    <mergeCell ref="A7:A8"/>
    <mergeCell ref="B7:B8"/>
    <mergeCell ref="C7:C8"/>
    <mergeCell ref="D7:D8"/>
    <mergeCell ref="E7:F7"/>
    <mergeCell ref="G7:H7"/>
    <mergeCell ref="I7:I8"/>
    <mergeCell ref="J7:J8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ปร.6 (ก) </vt:lpstr>
      <vt:lpstr>ปร.5</vt:lpstr>
      <vt:lpstr>ปร.4 ก่อสร้าง (เกษตร)</vt:lpstr>
      <vt:lpstr>ปร.4 ครุภันฑ์ (เกษตร)</vt:lpstr>
      <vt:lpstr>ปร.4 ก่อสร้าง (ประปา)</vt:lpstr>
      <vt:lpstr>ปร.4 ครุภัณฑ์ (ประปา)</vt:lpstr>
      <vt:lpstr>ที่มาของตู้ควบคุม</vt:lpstr>
      <vt:lpstr>'ปร.4 ก่อสร้าง (เกษตร)'!Print_Area</vt:lpstr>
      <vt:lpstr>'ปร.4 ก่อสร้าง (ประปา)'!Print_Area</vt:lpstr>
      <vt:lpstr>'ปร.6 (ก) '!Print_Area</vt:lpstr>
      <vt:lpstr>'ปร.4 ก่อสร้าง (เกษตร)'!Print_Titles</vt:lpstr>
      <vt:lpstr>'ปร.4 ก่อสร้าง (ประปา)'!Print_Titles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Chops</dc:creator>
  <cp:lastModifiedBy>Windows User</cp:lastModifiedBy>
  <cp:lastPrinted>2017-02-06T09:43:32Z</cp:lastPrinted>
  <dcterms:created xsi:type="dcterms:W3CDTF">2016-11-15T02:29:34Z</dcterms:created>
  <dcterms:modified xsi:type="dcterms:W3CDTF">2017-02-09T05:11:18Z</dcterms:modified>
</cp:coreProperties>
</file>